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90" windowWidth="810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<sst xmlns="http://schemas.openxmlformats.org/spreadsheetml/2006/main" count="271" uniqueCount="71">
  <si>
    <t>Target Error</t>
  </si>
  <si>
    <t>Reference Overhead</t>
  </si>
  <si>
    <t>PSU (min)</t>
  </si>
  <si>
    <t>Reference Voltage</t>
  </si>
  <si>
    <t>Output Gain</t>
  </si>
  <si>
    <t>k</t>
  </si>
  <si>
    <t>uA</t>
  </si>
  <si>
    <t>Reference Initial Accuracy</t>
  </si>
  <si>
    <t>Reference Tempco</t>
  </si>
  <si>
    <t>ppm/C</t>
  </si>
  <si>
    <t>V</t>
  </si>
  <si>
    <t>Bits</t>
  </si>
  <si>
    <t>LSB</t>
  </si>
  <si>
    <t>Reference Initial Error</t>
  </si>
  <si>
    <t>ppm</t>
  </si>
  <si>
    <t>Reference Tempco Error</t>
  </si>
  <si>
    <t>PSU (max)</t>
  </si>
  <si>
    <t>DAC INL</t>
  </si>
  <si>
    <t>DAC Gain Error</t>
  </si>
  <si>
    <t>DAC Gain TC</t>
  </si>
  <si>
    <t>DAC Noise</t>
  </si>
  <si>
    <t>Target Error Budget</t>
  </si>
  <si>
    <t>Reference Temperature Range</t>
  </si>
  <si>
    <t>Application Resolution</t>
  </si>
  <si>
    <t>Application Target Error</t>
  </si>
  <si>
    <t>Calculation of 1 LSB voltage</t>
  </si>
  <si>
    <t>V/V</t>
  </si>
  <si>
    <t>Reference Specifications</t>
  </si>
  <si>
    <t>DAC Specifications</t>
  </si>
  <si>
    <t>Reference Load Regulation</t>
  </si>
  <si>
    <t>mV/mA</t>
  </si>
  <si>
    <t>Reference Line Regulation</t>
  </si>
  <si>
    <t>uV/V</t>
  </si>
  <si>
    <t>Tempco Error</t>
  </si>
  <si>
    <t>Initial Accuracy Error</t>
  </si>
  <si>
    <t>Reference Output (1/f) Noise</t>
  </si>
  <si>
    <t>Reference Output Broadband Noise</t>
  </si>
  <si>
    <t>DAC Noise Bandwidth</t>
  </si>
  <si>
    <t>Hz</t>
  </si>
  <si>
    <r>
      <t>nV/</t>
    </r>
    <r>
      <rPr>
        <sz val="10"/>
        <rFont val="Symbol"/>
        <family val="1"/>
      </rPr>
      <t></t>
    </r>
    <r>
      <rPr>
        <sz val="10"/>
        <rFont val="Arial"/>
        <family val="0"/>
      </rPr>
      <t>Hz</t>
    </r>
  </si>
  <si>
    <t>°C</t>
  </si>
  <si>
    <t>ppm/°C</t>
  </si>
  <si>
    <t>Error Budget Analysis</t>
  </si>
  <si>
    <t>Step 1. Voltage Ranges and Reference Voltage Determination</t>
  </si>
  <si>
    <t>Output Voltage (max)</t>
  </si>
  <si>
    <t>Reference Voltage (max)</t>
  </si>
  <si>
    <t>DAC Reference-Input Resistance (min)</t>
  </si>
  <si>
    <t>Reference Dropout (min)</t>
  </si>
  <si>
    <t>Reference Output Current (max)</t>
  </si>
  <si>
    <t>Application Temperature Range</t>
  </si>
  <si>
    <t>Target Error Voltage (max)</t>
  </si>
  <si>
    <t>Accuracy in Bits</t>
  </si>
  <si>
    <t>Step 2. Initial Voltage Reference Device-Selection Criteria</t>
  </si>
  <si>
    <t>Initial Accuracy and Tempco</t>
  </si>
  <si>
    <t>Step 3: Final Specification Review and Error-Budget Analysis</t>
  </si>
  <si>
    <t>Reference Temp Hysteresis</t>
  </si>
  <si>
    <t>Reference Long-Term Stability</t>
  </si>
  <si>
    <t>Post-DAC Calibration Error</t>
  </si>
  <si>
    <t>Reference Load-Regulation Error</t>
  </si>
  <si>
    <t>Reference Line-Regulation Error</t>
  </si>
  <si>
    <t>Reference Output-Noise Error</t>
  </si>
  <si>
    <t>Worst-Case Error</t>
  </si>
  <si>
    <t>Root Sum Square (RSS) Error</t>
  </si>
  <si>
    <t>Worst-Case Margin</t>
  </si>
  <si>
    <t>Root Sum Square (RSS) Margin</t>
  </si>
  <si>
    <r>
      <t>uV</t>
    </r>
    <r>
      <rPr>
        <vertAlign val="subscript"/>
        <sz val="10"/>
        <rFont val="Arial"/>
        <family val="2"/>
      </rPr>
      <t>RMS</t>
    </r>
  </si>
  <si>
    <r>
      <t>uV</t>
    </r>
    <r>
      <rPr>
        <vertAlign val="subscript"/>
        <sz val="10"/>
        <rFont val="Arial"/>
        <family val="2"/>
      </rPr>
      <t>P-P</t>
    </r>
  </si>
  <si>
    <t>DESIGN A</t>
  </si>
  <si>
    <t>DESIGN B</t>
  </si>
  <si>
    <t>DESIGN C</t>
  </si>
  <si>
    <t>DESIGN 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</si>
</sst>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8" xfId="0" applyBorder="1" applyAlignment="1">
      <alignment/>
    </xf>
    <xf numFmtId="1" fontId="3" fillId="0" borderId="9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4" fillId="0" borderId="9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25">
      <selection activeCell="N39" sqref="N39"/>
    </sheetView>
  </sheetViews>
  <sheetFormatPr defaultColWidth="9.140625" defaultRowHeight="12.75"/>
  <cols>
    <col min="1" max="1" width="37.140625" style="0" bestFit="1" customWidth="1"/>
    <col min="3" max="3" width="7.28125" style="2" customWidth="1"/>
    <col min="4" max="4" width="3.7109375" style="0" customWidth="1"/>
    <col min="6" max="6" width="7.28125" style="2" customWidth="1"/>
    <col min="7" max="7" width="3.7109375" style="0" customWidth="1"/>
    <col min="9" max="9" width="7.28125" style="2" customWidth="1"/>
    <col min="10" max="10" width="3.7109375" style="0" customWidth="1"/>
    <col min="12" max="12" width="7.28125" style="2" customWidth="1"/>
  </cols>
  <sheetData>
    <row r="1" spans="1:12" s="4" customFormat="1" ht="32.25" customHeight="1">
      <c r="A1" s="3"/>
      <c r="B1" s="51" t="s">
        <v>67</v>
      </c>
      <c r="C1" s="51"/>
      <c r="D1" s="46"/>
      <c r="E1" s="51" t="s">
        <v>68</v>
      </c>
      <c r="F1" s="51"/>
      <c r="G1" s="46"/>
      <c r="H1" s="51" t="s">
        <v>69</v>
      </c>
      <c r="I1" s="51"/>
      <c r="J1" s="46"/>
      <c r="K1" s="51" t="s">
        <v>70</v>
      </c>
      <c r="L1" s="51"/>
    </row>
    <row r="2" spans="1:12" ht="37.5" customHeight="1">
      <c r="A2" s="49" t="s">
        <v>43</v>
      </c>
      <c r="B2" s="50"/>
      <c r="C2" s="50"/>
      <c r="D2" s="38"/>
      <c r="E2" s="38"/>
      <c r="F2" s="38"/>
      <c r="G2" s="38"/>
      <c r="H2" s="38"/>
      <c r="I2" s="38"/>
      <c r="J2" s="38"/>
      <c r="K2" s="38"/>
      <c r="L2" s="44"/>
    </row>
    <row r="3" spans="1:12" ht="12.75">
      <c r="A3" s="8" t="s">
        <v>44</v>
      </c>
      <c r="B3" s="9">
        <v>2.5</v>
      </c>
      <c r="C3" s="10" t="s">
        <v>10</v>
      </c>
      <c r="D3" s="11"/>
      <c r="E3" s="9">
        <v>4.096</v>
      </c>
      <c r="F3" s="10" t="s">
        <v>10</v>
      </c>
      <c r="G3" s="11"/>
      <c r="H3" s="9">
        <v>4</v>
      </c>
      <c r="I3" s="10" t="s">
        <v>10</v>
      </c>
      <c r="J3" s="11"/>
      <c r="K3" s="9">
        <v>2.048</v>
      </c>
      <c r="L3" s="12" t="s">
        <v>10</v>
      </c>
    </row>
    <row r="4" spans="1:12" ht="12.75">
      <c r="A4" s="13" t="s">
        <v>16</v>
      </c>
      <c r="B4" s="14">
        <v>5.5</v>
      </c>
      <c r="C4" s="15" t="s">
        <v>10</v>
      </c>
      <c r="D4" s="16"/>
      <c r="E4" s="14">
        <v>12</v>
      </c>
      <c r="F4" s="15" t="s">
        <v>10</v>
      </c>
      <c r="G4" s="16"/>
      <c r="H4" s="14">
        <v>5.25</v>
      </c>
      <c r="I4" s="15" t="s">
        <v>10</v>
      </c>
      <c r="J4" s="16"/>
      <c r="K4" s="14">
        <v>3.6</v>
      </c>
      <c r="L4" s="17" t="s">
        <v>10</v>
      </c>
    </row>
    <row r="5" spans="1:12" ht="12.75">
      <c r="A5" s="13" t="s">
        <v>2</v>
      </c>
      <c r="B5" s="14">
        <v>4.5</v>
      </c>
      <c r="C5" s="15" t="s">
        <v>10</v>
      </c>
      <c r="D5" s="16"/>
      <c r="E5" s="14">
        <v>4.95</v>
      </c>
      <c r="F5" s="15" t="s">
        <v>10</v>
      </c>
      <c r="G5" s="16"/>
      <c r="H5" s="14">
        <v>4.75</v>
      </c>
      <c r="I5" s="15" t="s">
        <v>10</v>
      </c>
      <c r="J5" s="16"/>
      <c r="K5" s="14">
        <v>2.7</v>
      </c>
      <c r="L5" s="17" t="s">
        <v>10</v>
      </c>
    </row>
    <row r="6" spans="1:12" ht="12.75">
      <c r="A6" s="13" t="s">
        <v>1</v>
      </c>
      <c r="B6" s="14">
        <v>1.4</v>
      </c>
      <c r="C6" s="15" t="s">
        <v>10</v>
      </c>
      <c r="D6" s="16"/>
      <c r="E6" s="14">
        <v>1.4</v>
      </c>
      <c r="F6" s="15" t="s">
        <v>10</v>
      </c>
      <c r="G6" s="16"/>
      <c r="H6" s="14">
        <v>1.4</v>
      </c>
      <c r="I6" s="15" t="s">
        <v>10</v>
      </c>
      <c r="J6" s="16"/>
      <c r="K6" s="14">
        <v>1.4</v>
      </c>
      <c r="L6" s="17" t="s">
        <v>10</v>
      </c>
    </row>
    <row r="7" spans="1:12" ht="12.75">
      <c r="A7" s="13" t="s">
        <v>45</v>
      </c>
      <c r="B7" s="18">
        <f>B5-B6</f>
        <v>3.1</v>
      </c>
      <c r="C7" s="15" t="s">
        <v>10</v>
      </c>
      <c r="D7" s="16"/>
      <c r="E7" s="18">
        <f>E5-E6</f>
        <v>3.5500000000000003</v>
      </c>
      <c r="F7" s="15" t="s">
        <v>10</v>
      </c>
      <c r="G7" s="16"/>
      <c r="H7" s="18">
        <f>H5-H6</f>
        <v>3.35</v>
      </c>
      <c r="I7" s="15" t="s">
        <v>10</v>
      </c>
      <c r="J7" s="16"/>
      <c r="K7" s="18">
        <f>K5-K6</f>
        <v>1.3000000000000003</v>
      </c>
      <c r="L7" s="17" t="s">
        <v>10</v>
      </c>
    </row>
    <row r="8" spans="1:12" ht="12.75">
      <c r="A8" s="13" t="s">
        <v>46</v>
      </c>
      <c r="B8" s="14">
        <v>18</v>
      </c>
      <c r="C8" s="15" t="s">
        <v>5</v>
      </c>
      <c r="D8" s="16"/>
      <c r="E8" s="14">
        <v>18</v>
      </c>
      <c r="F8" s="15" t="s">
        <v>5</v>
      </c>
      <c r="G8" s="16"/>
      <c r="H8" s="14">
        <v>7</v>
      </c>
      <c r="I8" s="15" t="s">
        <v>5</v>
      </c>
      <c r="J8" s="16"/>
      <c r="K8" s="14">
        <v>18</v>
      </c>
      <c r="L8" s="17" t="s">
        <v>5</v>
      </c>
    </row>
    <row r="9" spans="1:12" ht="12.75">
      <c r="A9" s="13" t="s">
        <v>3</v>
      </c>
      <c r="B9" s="14">
        <v>2.5</v>
      </c>
      <c r="C9" s="15" t="s">
        <v>10</v>
      </c>
      <c r="D9" s="16"/>
      <c r="E9" s="14">
        <v>2.5</v>
      </c>
      <c r="F9" s="15" t="s">
        <v>10</v>
      </c>
      <c r="G9" s="16"/>
      <c r="H9" s="14">
        <v>2.048</v>
      </c>
      <c r="I9" s="15" t="s">
        <v>10</v>
      </c>
      <c r="J9" s="16"/>
      <c r="K9" s="14">
        <v>1.25</v>
      </c>
      <c r="L9" s="17" t="s">
        <v>10</v>
      </c>
    </row>
    <row r="10" spans="1:12" ht="12.75">
      <c r="A10" s="13" t="s">
        <v>4</v>
      </c>
      <c r="B10" s="18">
        <f>B3/B9</f>
        <v>1</v>
      </c>
      <c r="C10" s="15" t="s">
        <v>26</v>
      </c>
      <c r="D10" s="16"/>
      <c r="E10" s="18">
        <f>E3/E9</f>
        <v>1.6384</v>
      </c>
      <c r="F10" s="15" t="s">
        <v>26</v>
      </c>
      <c r="G10" s="16"/>
      <c r="H10" s="18">
        <f>H3/H9</f>
        <v>1.953125</v>
      </c>
      <c r="I10" s="15" t="s">
        <v>26</v>
      </c>
      <c r="J10" s="16"/>
      <c r="K10" s="18">
        <f>K3/K9</f>
        <v>1.6384</v>
      </c>
      <c r="L10" s="17" t="s">
        <v>26</v>
      </c>
    </row>
    <row r="11" spans="1:12" ht="12.75">
      <c r="A11" s="13" t="s">
        <v>47</v>
      </c>
      <c r="B11" s="18">
        <f>B5-B9</f>
        <v>2</v>
      </c>
      <c r="C11" s="15" t="s">
        <v>10</v>
      </c>
      <c r="D11" s="16"/>
      <c r="E11" s="18">
        <f>E5-E9</f>
        <v>2.45</v>
      </c>
      <c r="F11" s="15" t="s">
        <v>10</v>
      </c>
      <c r="G11" s="16"/>
      <c r="H11" s="18">
        <f>H5-H9</f>
        <v>2.702</v>
      </c>
      <c r="I11" s="15" t="s">
        <v>10</v>
      </c>
      <c r="J11" s="16"/>
      <c r="K11" s="18">
        <f>K5-K9</f>
        <v>1.4500000000000002</v>
      </c>
      <c r="L11" s="17" t="s">
        <v>10</v>
      </c>
    </row>
    <row r="12" spans="1:12" ht="12.75">
      <c r="A12" s="13" t="s">
        <v>48</v>
      </c>
      <c r="B12" s="18">
        <f>B9/B8*1000</f>
        <v>138.88888888888889</v>
      </c>
      <c r="C12" s="15" t="s">
        <v>6</v>
      </c>
      <c r="D12" s="16"/>
      <c r="E12" s="18">
        <f>E9/E8*1000</f>
        <v>138.88888888888889</v>
      </c>
      <c r="F12" s="15" t="s">
        <v>6</v>
      </c>
      <c r="G12" s="16"/>
      <c r="H12" s="18">
        <f>H9/H8*1000</f>
        <v>292.5714285714286</v>
      </c>
      <c r="I12" s="15" t="s">
        <v>6</v>
      </c>
      <c r="J12" s="16"/>
      <c r="K12" s="18">
        <f>K9/K8*1000</f>
        <v>69.44444444444444</v>
      </c>
      <c r="L12" s="17" t="s">
        <v>6</v>
      </c>
    </row>
    <row r="13" spans="1:12" ht="12.75">
      <c r="A13" s="13" t="s">
        <v>49</v>
      </c>
      <c r="B13" s="14">
        <v>70</v>
      </c>
      <c r="C13" s="15" t="s">
        <v>40</v>
      </c>
      <c r="D13" s="16"/>
      <c r="E13" s="14">
        <v>70</v>
      </c>
      <c r="F13" s="15" t="s">
        <v>40</v>
      </c>
      <c r="G13" s="16"/>
      <c r="H13" s="14">
        <v>125</v>
      </c>
      <c r="I13" s="15" t="s">
        <v>40</v>
      </c>
      <c r="J13" s="16"/>
      <c r="K13" s="14">
        <v>30</v>
      </c>
      <c r="L13" s="17" t="s">
        <v>40</v>
      </c>
    </row>
    <row r="14" spans="1:12" ht="12.75">
      <c r="A14" s="19" t="s">
        <v>23</v>
      </c>
      <c r="B14" s="14">
        <v>10</v>
      </c>
      <c r="C14" s="15" t="s">
        <v>11</v>
      </c>
      <c r="D14" s="16"/>
      <c r="E14" s="14">
        <v>14</v>
      </c>
      <c r="F14" s="15" t="s">
        <v>11</v>
      </c>
      <c r="G14" s="16"/>
      <c r="H14" s="14">
        <v>12</v>
      </c>
      <c r="I14" s="15" t="s">
        <v>11</v>
      </c>
      <c r="J14" s="16"/>
      <c r="K14" s="14">
        <v>12</v>
      </c>
      <c r="L14" s="17" t="s">
        <v>11</v>
      </c>
    </row>
    <row r="15" spans="1:12" ht="12.75">
      <c r="A15" s="19" t="s">
        <v>24</v>
      </c>
      <c r="B15" s="14">
        <v>16</v>
      </c>
      <c r="C15" s="15" t="s">
        <v>12</v>
      </c>
      <c r="D15" s="16"/>
      <c r="E15" s="14">
        <v>2</v>
      </c>
      <c r="F15" s="15" t="s">
        <v>12</v>
      </c>
      <c r="G15" s="16"/>
      <c r="H15" s="14">
        <v>4</v>
      </c>
      <c r="I15" s="15" t="s">
        <v>12</v>
      </c>
      <c r="J15" s="16"/>
      <c r="K15" s="14">
        <v>16</v>
      </c>
      <c r="L15" s="17" t="s">
        <v>12</v>
      </c>
    </row>
    <row r="16" spans="1:12" ht="12.75">
      <c r="A16" s="19" t="s">
        <v>25</v>
      </c>
      <c r="B16" s="18">
        <f>B3/(2^B14-1)</f>
        <v>0.0024437927663734115</v>
      </c>
      <c r="C16" s="15" t="s">
        <v>10</v>
      </c>
      <c r="D16" s="16"/>
      <c r="E16" s="18">
        <f>E3/(2^E14-1)</f>
        <v>0.0002500152597204419</v>
      </c>
      <c r="F16" s="15" t="s">
        <v>10</v>
      </c>
      <c r="G16" s="16"/>
      <c r="H16" s="18">
        <f>H3/(2^H14-1)</f>
        <v>0.0009768009768009768</v>
      </c>
      <c r="I16" s="15" t="s">
        <v>10</v>
      </c>
      <c r="J16" s="16"/>
      <c r="K16" s="18">
        <f>K3/(2^K14-1)</f>
        <v>0.0005001221001221002</v>
      </c>
      <c r="L16" s="17" t="s">
        <v>10</v>
      </c>
    </row>
    <row r="17" spans="1:12" ht="12.75">
      <c r="A17" s="19" t="s">
        <v>50</v>
      </c>
      <c r="B17" s="18">
        <f>B15*B16</f>
        <v>0.039100684261974585</v>
      </c>
      <c r="C17" s="15" t="s">
        <v>10</v>
      </c>
      <c r="D17" s="16"/>
      <c r="E17" s="18">
        <f>E15*E16</f>
        <v>0.0005000305194408838</v>
      </c>
      <c r="F17" s="15" t="s">
        <v>10</v>
      </c>
      <c r="G17" s="16"/>
      <c r="H17" s="18">
        <f>H15*H16</f>
        <v>0.003907203907203907</v>
      </c>
      <c r="I17" s="15" t="s">
        <v>10</v>
      </c>
      <c r="J17" s="16"/>
      <c r="K17" s="18">
        <f>K15*K16</f>
        <v>0.008001953601953602</v>
      </c>
      <c r="L17" s="17" t="s">
        <v>10</v>
      </c>
    </row>
    <row r="18" spans="1:12" ht="12.75">
      <c r="A18" s="13" t="s">
        <v>51</v>
      </c>
      <c r="B18" s="18">
        <f>(LOG(B3/B17+1))/(LOG(2))</f>
        <v>6.020979938904212</v>
      </c>
      <c r="C18" s="15" t="s">
        <v>11</v>
      </c>
      <c r="D18" s="16"/>
      <c r="E18" s="18">
        <f>(LOG(E3/E17+1))/(LOG(2))</f>
        <v>13.000088052430122</v>
      </c>
      <c r="F18" s="15" t="s">
        <v>11</v>
      </c>
      <c r="G18" s="16"/>
      <c r="H18" s="18">
        <f>(LOG(H3/H17+1))/(LOG(2))</f>
        <v>10.001056274634777</v>
      </c>
      <c r="I18" s="15" t="s">
        <v>11</v>
      </c>
      <c r="J18" s="16"/>
      <c r="K18" s="18">
        <f>(LOG(K3/K17+1))/(LOG(2))</f>
        <v>8.005273656563936</v>
      </c>
      <c r="L18" s="17" t="s">
        <v>11</v>
      </c>
    </row>
    <row r="19" spans="1:12" ht="12.75">
      <c r="A19" s="20" t="s">
        <v>21</v>
      </c>
      <c r="B19" s="21">
        <f>B15/(2^B14-1)*1000000</f>
        <v>15640.273704789834</v>
      </c>
      <c r="C19" s="22" t="s">
        <v>14</v>
      </c>
      <c r="D19" s="23"/>
      <c r="E19" s="21">
        <f>E15/(2^E14-1)*1000000</f>
        <v>122.07776353537203</v>
      </c>
      <c r="F19" s="22" t="s">
        <v>14</v>
      </c>
      <c r="G19" s="23"/>
      <c r="H19" s="21">
        <f>H15/(2^H14-1)*1000000</f>
        <v>976.8009768009769</v>
      </c>
      <c r="I19" s="22" t="s">
        <v>14</v>
      </c>
      <c r="J19" s="23"/>
      <c r="K19" s="21">
        <f>K15/(2^K14-1)*1000000</f>
        <v>3907.2039072039074</v>
      </c>
      <c r="L19" s="24" t="s">
        <v>14</v>
      </c>
    </row>
    <row r="20" spans="2:11" ht="12.75">
      <c r="B20" s="1"/>
      <c r="E20" s="1"/>
      <c r="H20" s="1"/>
      <c r="K20" s="1"/>
    </row>
    <row r="21" spans="1:12" ht="37.5" customHeight="1">
      <c r="A21" s="49" t="s">
        <v>52</v>
      </c>
      <c r="B21" s="50"/>
      <c r="C21" s="50"/>
      <c r="D21" s="38"/>
      <c r="E21" s="41"/>
      <c r="F21" s="42"/>
      <c r="G21" s="38"/>
      <c r="H21" s="41"/>
      <c r="I21" s="42"/>
      <c r="J21" s="38"/>
      <c r="K21" s="41"/>
      <c r="L21" s="43"/>
    </row>
    <row r="22" spans="1:12" ht="12.75">
      <c r="A22" s="13" t="s">
        <v>7</v>
      </c>
      <c r="B22" s="25">
        <v>0.004</v>
      </c>
      <c r="C22" s="15"/>
      <c r="D22" s="16"/>
      <c r="E22" s="25">
        <v>0</v>
      </c>
      <c r="F22" s="15"/>
      <c r="G22" s="16"/>
      <c r="H22" s="25">
        <v>0</v>
      </c>
      <c r="I22" s="15"/>
      <c r="J22" s="16"/>
      <c r="K22" s="25">
        <v>0.0016</v>
      </c>
      <c r="L22" s="17"/>
    </row>
    <row r="23" spans="1:12" ht="12.75">
      <c r="A23" s="13" t="s">
        <v>8</v>
      </c>
      <c r="B23" s="26">
        <v>65</v>
      </c>
      <c r="C23" s="15" t="s">
        <v>9</v>
      </c>
      <c r="D23" s="16"/>
      <c r="E23" s="26">
        <v>1</v>
      </c>
      <c r="F23" s="15" t="s">
        <v>9</v>
      </c>
      <c r="G23" s="14"/>
      <c r="H23" s="26">
        <v>5</v>
      </c>
      <c r="I23" s="15" t="s">
        <v>41</v>
      </c>
      <c r="J23" s="16"/>
      <c r="K23" s="26">
        <v>5</v>
      </c>
      <c r="L23" s="17" t="s">
        <v>41</v>
      </c>
    </row>
    <row r="24" spans="1:12" ht="12.75">
      <c r="A24" s="13" t="s">
        <v>22</v>
      </c>
      <c r="B24" s="14">
        <v>70</v>
      </c>
      <c r="C24" s="15" t="s">
        <v>40</v>
      </c>
      <c r="D24" s="16"/>
      <c r="E24" s="14">
        <v>70</v>
      </c>
      <c r="F24" s="15" t="s">
        <v>40</v>
      </c>
      <c r="G24" s="16"/>
      <c r="H24" s="14">
        <v>125</v>
      </c>
      <c r="I24" s="15" t="s">
        <v>40</v>
      </c>
      <c r="J24" s="16"/>
      <c r="K24" s="14">
        <v>125</v>
      </c>
      <c r="L24" s="17" t="s">
        <v>40</v>
      </c>
    </row>
    <row r="25" spans="1:12" ht="12.75">
      <c r="A25" s="13" t="s">
        <v>34</v>
      </c>
      <c r="B25" s="18">
        <f>1000000*B22</f>
        <v>4000</v>
      </c>
      <c r="C25" s="15" t="s">
        <v>14</v>
      </c>
      <c r="D25" s="16"/>
      <c r="E25" s="18">
        <f>1000000*E22</f>
        <v>0</v>
      </c>
      <c r="F25" s="15" t="s">
        <v>14</v>
      </c>
      <c r="G25" s="16"/>
      <c r="H25" s="18">
        <f>1000000*H22</f>
        <v>0</v>
      </c>
      <c r="I25" s="15" t="s">
        <v>14</v>
      </c>
      <c r="J25" s="16"/>
      <c r="K25" s="18">
        <f>1000000*K22</f>
        <v>1600</v>
      </c>
      <c r="L25" s="17" t="s">
        <v>14</v>
      </c>
    </row>
    <row r="26" spans="1:12" ht="12.75">
      <c r="A26" s="13" t="s">
        <v>33</v>
      </c>
      <c r="B26" s="18">
        <f>B24*B23</f>
        <v>4550</v>
      </c>
      <c r="C26" s="15" t="s">
        <v>14</v>
      </c>
      <c r="D26" s="16"/>
      <c r="E26" s="18">
        <f>E24*E23</f>
        <v>70</v>
      </c>
      <c r="F26" s="15" t="s">
        <v>14</v>
      </c>
      <c r="G26" s="16"/>
      <c r="H26" s="18">
        <f>H24*H23</f>
        <v>625</v>
      </c>
      <c r="I26" s="15" t="s">
        <v>14</v>
      </c>
      <c r="J26" s="16"/>
      <c r="K26" s="18">
        <f>K24*K23</f>
        <v>625</v>
      </c>
      <c r="L26" s="17" t="s">
        <v>14</v>
      </c>
    </row>
    <row r="27" spans="1:12" ht="12.75">
      <c r="A27" s="13" t="s">
        <v>53</v>
      </c>
      <c r="B27" s="18">
        <f>B25+B26</f>
        <v>8550</v>
      </c>
      <c r="C27" s="15" t="s">
        <v>14</v>
      </c>
      <c r="D27" s="16"/>
      <c r="E27" s="18">
        <f>E25+E26</f>
        <v>70</v>
      </c>
      <c r="F27" s="15" t="s">
        <v>14</v>
      </c>
      <c r="G27" s="16"/>
      <c r="H27" s="18">
        <f>H25+H26</f>
        <v>625</v>
      </c>
      <c r="I27" s="15" t="s">
        <v>14</v>
      </c>
      <c r="J27" s="16"/>
      <c r="K27" s="18">
        <f>K25+K26</f>
        <v>2225</v>
      </c>
      <c r="L27" s="17" t="s">
        <v>14</v>
      </c>
    </row>
    <row r="28" spans="1:12" ht="12.75">
      <c r="A28" s="20" t="s">
        <v>53</v>
      </c>
      <c r="B28" s="27">
        <f>B27*(2^B14-1)/1000000</f>
        <v>8.74665</v>
      </c>
      <c r="C28" s="22" t="s">
        <v>12</v>
      </c>
      <c r="D28" s="23"/>
      <c r="E28" s="27">
        <f>E27*(2^E14-1)/1000000</f>
        <v>1.14681</v>
      </c>
      <c r="F28" s="22" t="s">
        <v>12</v>
      </c>
      <c r="G28" s="23"/>
      <c r="H28" s="27">
        <f>H27*(2^H14-1)/1000000</f>
        <v>2.559375</v>
      </c>
      <c r="I28" s="22" t="s">
        <v>12</v>
      </c>
      <c r="J28" s="23"/>
      <c r="K28" s="27">
        <f>K27*(2^K14-1)/1000000</f>
        <v>9.111375</v>
      </c>
      <c r="L28" s="24" t="s">
        <v>12</v>
      </c>
    </row>
    <row r="29" spans="2:11" ht="12.75">
      <c r="B29" s="5"/>
      <c r="E29" s="5"/>
      <c r="H29" s="5"/>
      <c r="K29" s="5"/>
    </row>
    <row r="30" spans="1:12" ht="37.5" customHeight="1">
      <c r="A30" s="49" t="s">
        <v>54</v>
      </c>
      <c r="B30" s="50"/>
      <c r="C30" s="50"/>
      <c r="D30" s="38"/>
      <c r="E30" s="39"/>
      <c r="F30" s="39"/>
      <c r="G30" s="39"/>
      <c r="H30" s="39"/>
      <c r="I30" s="39"/>
      <c r="J30" s="38"/>
      <c r="K30" s="39"/>
      <c r="L30" s="40"/>
    </row>
    <row r="31" spans="1:12" ht="15.75">
      <c r="A31" s="47" t="s">
        <v>27</v>
      </c>
      <c r="B31" s="48"/>
      <c r="C31" s="48"/>
      <c r="D31" s="38"/>
      <c r="E31" s="38"/>
      <c r="F31" s="38"/>
      <c r="G31" s="38"/>
      <c r="H31" s="38"/>
      <c r="I31" s="38"/>
      <c r="J31" s="38"/>
      <c r="K31" s="38"/>
      <c r="L31" s="44"/>
    </row>
    <row r="32" spans="1:12" ht="12.75">
      <c r="A32" s="13" t="s">
        <v>55</v>
      </c>
      <c r="B32" s="28">
        <v>130</v>
      </c>
      <c r="C32" s="15" t="s">
        <v>14</v>
      </c>
      <c r="D32" s="16"/>
      <c r="E32" s="28">
        <v>20</v>
      </c>
      <c r="F32" s="15" t="s">
        <v>14</v>
      </c>
      <c r="G32" s="16"/>
      <c r="H32" s="29">
        <v>125</v>
      </c>
      <c r="I32" s="15" t="s">
        <v>14</v>
      </c>
      <c r="J32" s="16"/>
      <c r="K32" s="29">
        <v>75</v>
      </c>
      <c r="L32" s="17" t="s">
        <v>14</v>
      </c>
    </row>
    <row r="33" spans="1:12" ht="12.75">
      <c r="A33" s="13" t="s">
        <v>56</v>
      </c>
      <c r="B33" s="28">
        <v>100</v>
      </c>
      <c r="C33" s="15" t="s">
        <v>14</v>
      </c>
      <c r="D33" s="16"/>
      <c r="E33" s="28">
        <v>30</v>
      </c>
      <c r="F33" s="15" t="s">
        <v>14</v>
      </c>
      <c r="G33" s="16"/>
      <c r="H33" s="28">
        <v>230</v>
      </c>
      <c r="I33" s="15" t="s">
        <v>14</v>
      </c>
      <c r="J33" s="16"/>
      <c r="K33" s="28">
        <v>100</v>
      </c>
      <c r="L33" s="17" t="s">
        <v>14</v>
      </c>
    </row>
    <row r="34" spans="1:12" ht="12.75">
      <c r="A34" s="13" t="s">
        <v>29</v>
      </c>
      <c r="B34" s="30">
        <v>0.9</v>
      </c>
      <c r="C34" s="15" t="s">
        <v>30</v>
      </c>
      <c r="D34" s="16"/>
      <c r="E34" s="30">
        <v>0.015</v>
      </c>
      <c r="F34" s="15" t="s">
        <v>30</v>
      </c>
      <c r="G34" s="16"/>
      <c r="H34" s="30">
        <v>0.9</v>
      </c>
      <c r="I34" s="15" t="s">
        <v>30</v>
      </c>
      <c r="J34" s="16"/>
      <c r="K34" s="30">
        <v>0.5</v>
      </c>
      <c r="L34" s="17" t="s">
        <v>30</v>
      </c>
    </row>
    <row r="35" spans="1:12" ht="12.75">
      <c r="A35" s="13" t="s">
        <v>31</v>
      </c>
      <c r="B35" s="28">
        <v>300</v>
      </c>
      <c r="C35" s="15" t="s">
        <v>32</v>
      </c>
      <c r="D35" s="16"/>
      <c r="E35" s="28">
        <v>0</v>
      </c>
      <c r="F35" s="15" t="s">
        <v>32</v>
      </c>
      <c r="G35" s="16"/>
      <c r="H35" s="28">
        <v>0</v>
      </c>
      <c r="I35" s="15" t="s">
        <v>32</v>
      </c>
      <c r="J35" s="16"/>
      <c r="K35" s="28">
        <v>80</v>
      </c>
      <c r="L35" s="17" t="s">
        <v>32</v>
      </c>
    </row>
    <row r="36" spans="1:12" ht="15.75">
      <c r="A36" s="13" t="s">
        <v>36</v>
      </c>
      <c r="B36" s="31">
        <v>30</v>
      </c>
      <c r="C36" s="15" t="s">
        <v>65</v>
      </c>
      <c r="D36" s="16"/>
      <c r="E36" s="31">
        <v>1.12</v>
      </c>
      <c r="F36" s="15" t="s">
        <v>65</v>
      </c>
      <c r="G36" s="16"/>
      <c r="H36" s="31"/>
      <c r="I36" s="15" t="s">
        <v>65</v>
      </c>
      <c r="J36" s="16"/>
      <c r="K36" s="31"/>
      <c r="L36" s="17" t="s">
        <v>65</v>
      </c>
    </row>
    <row r="37" spans="1:12" ht="15.75">
      <c r="A37" s="13" t="s">
        <v>35</v>
      </c>
      <c r="B37" s="31"/>
      <c r="C37" s="15" t="s">
        <v>66</v>
      </c>
      <c r="D37" s="16"/>
      <c r="E37" s="31">
        <v>0.3</v>
      </c>
      <c r="F37" s="15" t="s">
        <v>66</v>
      </c>
      <c r="G37" s="16"/>
      <c r="H37" s="31">
        <v>10.5</v>
      </c>
      <c r="I37" s="15" t="s">
        <v>66</v>
      </c>
      <c r="J37" s="16"/>
      <c r="K37" s="31">
        <v>12.5</v>
      </c>
      <c r="L37" s="17" t="s">
        <v>66</v>
      </c>
    </row>
    <row r="38" spans="1:12" ht="15.75" customHeight="1">
      <c r="A38" s="47" t="s">
        <v>28</v>
      </c>
      <c r="B38" s="48"/>
      <c r="C38" s="48"/>
      <c r="D38" s="38"/>
      <c r="E38" s="41"/>
      <c r="F38" s="42"/>
      <c r="G38" s="38"/>
      <c r="H38" s="41"/>
      <c r="I38" s="42"/>
      <c r="J38" s="38"/>
      <c r="K38" s="41"/>
      <c r="L38" s="43"/>
    </row>
    <row r="39" spans="1:12" ht="15.75" customHeight="1">
      <c r="A39" s="32" t="s">
        <v>57</v>
      </c>
      <c r="B39" s="15"/>
      <c r="C39" s="15" t="s">
        <v>14</v>
      </c>
      <c r="D39" s="16"/>
      <c r="E39" s="14"/>
      <c r="F39" s="15" t="s">
        <v>14</v>
      </c>
      <c r="G39" s="16"/>
      <c r="H39" s="14">
        <v>244</v>
      </c>
      <c r="I39" s="15" t="s">
        <v>14</v>
      </c>
      <c r="J39" s="16"/>
      <c r="K39" s="14"/>
      <c r="L39" s="17" t="s">
        <v>14</v>
      </c>
    </row>
    <row r="40" spans="1:12" ht="12.75">
      <c r="A40" s="13" t="s">
        <v>17</v>
      </c>
      <c r="B40" s="14">
        <v>4</v>
      </c>
      <c r="C40" s="15" t="s">
        <v>12</v>
      </c>
      <c r="D40" s="16"/>
      <c r="E40" s="14">
        <v>1</v>
      </c>
      <c r="F40" s="15" t="s">
        <v>12</v>
      </c>
      <c r="G40" s="16"/>
      <c r="H40" s="14">
        <v>0.5</v>
      </c>
      <c r="I40" s="15" t="s">
        <v>12</v>
      </c>
      <c r="J40" s="16"/>
      <c r="K40" s="14">
        <v>2</v>
      </c>
      <c r="L40" s="17" t="s">
        <v>12</v>
      </c>
    </row>
    <row r="41" spans="1:12" ht="12.75">
      <c r="A41" s="13" t="s">
        <v>18</v>
      </c>
      <c r="B41" s="14">
        <v>2</v>
      </c>
      <c r="C41" s="15" t="s">
        <v>12</v>
      </c>
      <c r="D41" s="16"/>
      <c r="E41" s="14">
        <v>0</v>
      </c>
      <c r="F41" s="15" t="s">
        <v>12</v>
      </c>
      <c r="G41" s="16"/>
      <c r="H41" s="14"/>
      <c r="I41" s="15" t="s">
        <v>12</v>
      </c>
      <c r="J41" s="16"/>
      <c r="K41" s="14">
        <v>8</v>
      </c>
      <c r="L41" s="17" t="s">
        <v>12</v>
      </c>
    </row>
    <row r="42" spans="1:12" ht="12.75">
      <c r="A42" s="13" t="s">
        <v>19</v>
      </c>
      <c r="B42" s="14">
        <v>1</v>
      </c>
      <c r="C42" s="15" t="s">
        <v>41</v>
      </c>
      <c r="D42" s="16"/>
      <c r="E42" s="14">
        <v>0</v>
      </c>
      <c r="F42" s="15" t="s">
        <v>41</v>
      </c>
      <c r="G42" s="16"/>
      <c r="H42" s="14">
        <v>4</v>
      </c>
      <c r="I42" s="15" t="s">
        <v>41</v>
      </c>
      <c r="J42" s="16"/>
      <c r="K42" s="14"/>
      <c r="L42" s="17" t="s">
        <v>41</v>
      </c>
    </row>
    <row r="43" spans="1:12" ht="12.75">
      <c r="A43" s="13" t="s">
        <v>20</v>
      </c>
      <c r="B43" s="26"/>
      <c r="C43" s="15" t="s">
        <v>39</v>
      </c>
      <c r="D43" s="16"/>
      <c r="E43" s="26">
        <v>80</v>
      </c>
      <c r="F43" s="15" t="s">
        <v>39</v>
      </c>
      <c r="G43" s="16"/>
      <c r="H43" s="26"/>
      <c r="I43" s="15" t="s">
        <v>39</v>
      </c>
      <c r="J43" s="16"/>
      <c r="K43" s="26">
        <v>80</v>
      </c>
      <c r="L43" s="17" t="s">
        <v>39</v>
      </c>
    </row>
    <row r="44" spans="1:12" ht="12.75">
      <c r="A44" s="20" t="s">
        <v>37</v>
      </c>
      <c r="B44" s="33"/>
      <c r="C44" s="22" t="s">
        <v>38</v>
      </c>
      <c r="D44" s="23"/>
      <c r="E44" s="33">
        <v>1000</v>
      </c>
      <c r="F44" s="22" t="s">
        <v>38</v>
      </c>
      <c r="G44" s="23"/>
      <c r="H44" s="33"/>
      <c r="I44" s="22" t="s">
        <v>38</v>
      </c>
      <c r="J44" s="23"/>
      <c r="K44" s="33">
        <v>10</v>
      </c>
      <c r="L44" s="24" t="s">
        <v>38</v>
      </c>
    </row>
    <row r="45" spans="1:12" ht="15.75">
      <c r="A45" s="47" t="s">
        <v>42</v>
      </c>
      <c r="B45" s="48"/>
      <c r="C45" s="48"/>
      <c r="D45" s="38"/>
      <c r="E45" s="45"/>
      <c r="F45" s="42"/>
      <c r="G45" s="38"/>
      <c r="H45" s="45"/>
      <c r="I45" s="42"/>
      <c r="J45" s="38"/>
      <c r="K45" s="45"/>
      <c r="L45" s="43"/>
    </row>
    <row r="46" spans="1:12" ht="12.75">
      <c r="A46" s="13" t="s">
        <v>13</v>
      </c>
      <c r="B46" s="34">
        <f>B22*1000000</f>
        <v>4000</v>
      </c>
      <c r="C46" s="15" t="s">
        <v>14</v>
      </c>
      <c r="D46" s="16"/>
      <c r="E46" s="34">
        <f>E22*1000000</f>
        <v>0</v>
      </c>
      <c r="F46" s="15" t="s">
        <v>14</v>
      </c>
      <c r="G46" s="16"/>
      <c r="H46" s="34">
        <f>H22*1000000</f>
        <v>0</v>
      </c>
      <c r="I46" s="15" t="s">
        <v>14</v>
      </c>
      <c r="J46" s="16"/>
      <c r="K46" s="34">
        <f>K22*1000000</f>
        <v>1600</v>
      </c>
      <c r="L46" s="17" t="s">
        <v>14</v>
      </c>
    </row>
    <row r="47" spans="1:12" ht="12.75">
      <c r="A47" s="32" t="s">
        <v>57</v>
      </c>
      <c r="B47" s="34">
        <f>B39</f>
        <v>0</v>
      </c>
      <c r="C47" s="15" t="s">
        <v>14</v>
      </c>
      <c r="D47" s="16"/>
      <c r="E47" s="34">
        <f>E39</f>
        <v>0</v>
      </c>
      <c r="F47" s="15" t="s">
        <v>14</v>
      </c>
      <c r="G47" s="16"/>
      <c r="H47" s="34">
        <f>H39</f>
        <v>244</v>
      </c>
      <c r="I47" s="15" t="s">
        <v>14</v>
      </c>
      <c r="J47" s="16"/>
      <c r="K47" s="34">
        <f>K39</f>
        <v>0</v>
      </c>
      <c r="L47" s="17" t="s">
        <v>14</v>
      </c>
    </row>
    <row r="48" spans="1:12" ht="12.75">
      <c r="A48" s="13" t="s">
        <v>15</v>
      </c>
      <c r="B48" s="34">
        <f>B23*B24</f>
        <v>4550</v>
      </c>
      <c r="C48" s="15" t="s">
        <v>14</v>
      </c>
      <c r="D48" s="16"/>
      <c r="E48" s="34">
        <f>E23*E24</f>
        <v>70</v>
      </c>
      <c r="F48" s="15" t="s">
        <v>14</v>
      </c>
      <c r="G48" s="16"/>
      <c r="H48" s="34">
        <f>H23*H24</f>
        <v>625</v>
      </c>
      <c r="I48" s="15" t="s">
        <v>14</v>
      </c>
      <c r="J48" s="16"/>
      <c r="K48" s="34">
        <f>K23*K24</f>
        <v>625</v>
      </c>
      <c r="L48" s="17" t="s">
        <v>14</v>
      </c>
    </row>
    <row r="49" spans="1:12" ht="12.75">
      <c r="A49" s="13" t="s">
        <v>55</v>
      </c>
      <c r="B49" s="34">
        <f>B32</f>
        <v>130</v>
      </c>
      <c r="C49" s="15" t="s">
        <v>14</v>
      </c>
      <c r="D49" s="16"/>
      <c r="E49" s="34">
        <f>E32</f>
        <v>20</v>
      </c>
      <c r="F49" s="15" t="s">
        <v>14</v>
      </c>
      <c r="G49" s="16"/>
      <c r="H49" s="34">
        <f>H32</f>
        <v>125</v>
      </c>
      <c r="I49" s="15" t="s">
        <v>14</v>
      </c>
      <c r="J49" s="16"/>
      <c r="K49" s="34">
        <f>K32</f>
        <v>75</v>
      </c>
      <c r="L49" s="17" t="s">
        <v>14</v>
      </c>
    </row>
    <row r="50" spans="1:12" ht="12.75">
      <c r="A50" s="13" t="s">
        <v>56</v>
      </c>
      <c r="B50" s="34">
        <f>B33</f>
        <v>100</v>
      </c>
      <c r="C50" s="15" t="s">
        <v>14</v>
      </c>
      <c r="D50" s="16"/>
      <c r="E50" s="34">
        <f>E33</f>
        <v>30</v>
      </c>
      <c r="F50" s="15" t="s">
        <v>14</v>
      </c>
      <c r="G50" s="16"/>
      <c r="H50" s="34">
        <f>H33</f>
        <v>230</v>
      </c>
      <c r="I50" s="15" t="s">
        <v>14</v>
      </c>
      <c r="J50" s="16"/>
      <c r="K50" s="34">
        <f>K33</f>
        <v>100</v>
      </c>
      <c r="L50" s="17" t="s">
        <v>14</v>
      </c>
    </row>
    <row r="51" spans="1:12" ht="12.75">
      <c r="A51" s="13" t="s">
        <v>58</v>
      </c>
      <c r="B51" s="34">
        <f>B34*B12/B9</f>
        <v>50</v>
      </c>
      <c r="C51" s="15" t="s">
        <v>14</v>
      </c>
      <c r="D51" s="16"/>
      <c r="E51" s="35">
        <f>E34*E12/E9</f>
        <v>0.8333333333333333</v>
      </c>
      <c r="F51" s="15" t="s">
        <v>14</v>
      </c>
      <c r="G51" s="16"/>
      <c r="H51" s="35">
        <f>H34*H12/H9</f>
        <v>128.57142857142858</v>
      </c>
      <c r="I51" s="15" t="s">
        <v>14</v>
      </c>
      <c r="J51" s="16"/>
      <c r="K51" s="35">
        <f>K34*K12/K9</f>
        <v>27.77777777777778</v>
      </c>
      <c r="L51" s="17" t="s">
        <v>14</v>
      </c>
    </row>
    <row r="52" spans="1:12" ht="12.75">
      <c r="A52" s="13" t="s">
        <v>59</v>
      </c>
      <c r="B52" s="34">
        <f>(B4-B5)*B35/B9</f>
        <v>120</v>
      </c>
      <c r="C52" s="15" t="s">
        <v>14</v>
      </c>
      <c r="D52" s="16"/>
      <c r="E52" s="34">
        <f>(E4-E5)*E35/E9</f>
        <v>0</v>
      </c>
      <c r="F52" s="15" t="s">
        <v>14</v>
      </c>
      <c r="G52" s="16"/>
      <c r="H52" s="34">
        <f>(H4-H5)*H35/H9</f>
        <v>0</v>
      </c>
      <c r="I52" s="15" t="s">
        <v>14</v>
      </c>
      <c r="J52" s="16"/>
      <c r="K52" s="34">
        <f>(K4-K5)*K35/K9</f>
        <v>57.6</v>
      </c>
      <c r="L52" s="17" t="s">
        <v>14</v>
      </c>
    </row>
    <row r="53" spans="1:12" ht="12.75">
      <c r="A53" s="13" t="s">
        <v>60</v>
      </c>
      <c r="B53" s="34">
        <f>(B37+SQRT(2)*B36)/B9</f>
        <v>16.970562748477143</v>
      </c>
      <c r="C53" s="15" t="s">
        <v>14</v>
      </c>
      <c r="D53" s="16"/>
      <c r="E53" s="34">
        <f>(E37+SQRT(2)*E36)/E9</f>
        <v>0.7535676759431467</v>
      </c>
      <c r="F53" s="15" t="s">
        <v>14</v>
      </c>
      <c r="G53" s="16"/>
      <c r="H53" s="34">
        <f>(H37+SQRT(2)*H36)/H9</f>
        <v>5.126953125</v>
      </c>
      <c r="I53" s="15" t="s">
        <v>14</v>
      </c>
      <c r="J53" s="16"/>
      <c r="K53" s="34">
        <f>(K37+SQRT(2)*K36)/K9</f>
        <v>10</v>
      </c>
      <c r="L53" s="17" t="s">
        <v>14</v>
      </c>
    </row>
    <row r="54" spans="1:12" ht="12.75">
      <c r="A54" s="13" t="s">
        <v>17</v>
      </c>
      <c r="B54" s="34">
        <f>B40/(2^B14-1)*1000000</f>
        <v>3910.0684261974584</v>
      </c>
      <c r="C54" s="15" t="s">
        <v>14</v>
      </c>
      <c r="D54" s="16"/>
      <c r="E54" s="34">
        <f>E40/(2^E14-1)*1000000</f>
        <v>61.038881767686014</v>
      </c>
      <c r="F54" s="15" t="s">
        <v>14</v>
      </c>
      <c r="G54" s="16"/>
      <c r="H54" s="34">
        <f>H40/(2^H14-1)*1000000</f>
        <v>122.1001221001221</v>
      </c>
      <c r="I54" s="15" t="s">
        <v>14</v>
      </c>
      <c r="J54" s="16"/>
      <c r="K54" s="34">
        <f>K40/(2^K14-1)*1000000</f>
        <v>488.4004884004884</v>
      </c>
      <c r="L54" s="17" t="s">
        <v>14</v>
      </c>
    </row>
    <row r="55" spans="1:12" ht="12.75">
      <c r="A55" s="13" t="s">
        <v>18</v>
      </c>
      <c r="B55" s="34">
        <f>B41/(2^B14-1)*1000000</f>
        <v>1955.0342130987292</v>
      </c>
      <c r="C55" s="15" t="s">
        <v>14</v>
      </c>
      <c r="D55" s="16"/>
      <c r="E55" s="34">
        <f>E41/(2^E14-1)*1000000</f>
        <v>0</v>
      </c>
      <c r="F55" s="15" t="s">
        <v>14</v>
      </c>
      <c r="G55" s="16"/>
      <c r="H55" s="34">
        <f>H41/(2^H14-1)*1000000</f>
        <v>0</v>
      </c>
      <c r="I55" s="15" t="s">
        <v>14</v>
      </c>
      <c r="J55" s="16"/>
      <c r="K55" s="34">
        <f>K41/(2^K14-1)*1000000</f>
        <v>1953.6019536019537</v>
      </c>
      <c r="L55" s="17" t="s">
        <v>14</v>
      </c>
    </row>
    <row r="56" spans="1:12" ht="12.75">
      <c r="A56" s="13" t="s">
        <v>19</v>
      </c>
      <c r="B56" s="34">
        <f>B42*B13</f>
        <v>70</v>
      </c>
      <c r="C56" s="15" t="s">
        <v>14</v>
      </c>
      <c r="D56" s="16"/>
      <c r="E56" s="34">
        <f>E42*E13</f>
        <v>0</v>
      </c>
      <c r="F56" s="15" t="s">
        <v>14</v>
      </c>
      <c r="G56" s="16"/>
      <c r="H56" s="34">
        <f>H42*H13</f>
        <v>500</v>
      </c>
      <c r="I56" s="15" t="s">
        <v>14</v>
      </c>
      <c r="J56" s="16"/>
      <c r="K56" s="34">
        <f>K42*K13</f>
        <v>0</v>
      </c>
      <c r="L56" s="17" t="s">
        <v>14</v>
      </c>
    </row>
    <row r="57" spans="1:12" ht="13.5" thickBot="1">
      <c r="A57" s="13" t="s">
        <v>20</v>
      </c>
      <c r="B57" s="36">
        <f>SQRT(B44*PI()/2)*SQRT(2)*B43/B3/1000</f>
        <v>0</v>
      </c>
      <c r="C57" s="15" t="s">
        <v>14</v>
      </c>
      <c r="D57" s="16"/>
      <c r="E57" s="36">
        <f>SQRT(E44*PI()/2)*SQRT(2)*E43/E3/1000</f>
        <v>1.0947248469527204</v>
      </c>
      <c r="F57" s="15" t="s">
        <v>14</v>
      </c>
      <c r="G57" s="16"/>
      <c r="H57" s="36">
        <f>SQRT(H44*PI()/2)*SQRT(2)*H43/H3/1000</f>
        <v>0</v>
      </c>
      <c r="I57" s="15" t="s">
        <v>14</v>
      </c>
      <c r="J57" s="16"/>
      <c r="K57" s="36">
        <f>SQRT(K44*PI()/2)*SQRT(2)*K43/K3/1000</f>
        <v>0.2189449693905441</v>
      </c>
      <c r="L57" s="17" t="s">
        <v>14</v>
      </c>
    </row>
    <row r="58" spans="1:12" ht="12.75">
      <c r="A58" s="13" t="s">
        <v>61</v>
      </c>
      <c r="B58" s="6">
        <f>SUM(B46:B57)</f>
        <v>14902.073202044663</v>
      </c>
      <c r="C58" s="15" t="s">
        <v>14</v>
      </c>
      <c r="D58" s="16"/>
      <c r="E58" s="6">
        <f>SUM(E46:E57)</f>
        <v>183.7205076239152</v>
      </c>
      <c r="F58" s="15" t="s">
        <v>14</v>
      </c>
      <c r="G58" s="16"/>
      <c r="H58" s="6">
        <f>SUM(H46:H57)</f>
        <v>1979.7985037965507</v>
      </c>
      <c r="I58" s="15" t="s">
        <v>14</v>
      </c>
      <c r="J58" s="16"/>
      <c r="K58" s="6">
        <f>SUM(K46:K57)</f>
        <v>4937.59916474961</v>
      </c>
      <c r="L58" s="17" t="s">
        <v>14</v>
      </c>
    </row>
    <row r="59" spans="1:12" ht="12.75">
      <c r="A59" s="13" t="s">
        <v>62</v>
      </c>
      <c r="B59" s="7">
        <f>SQRT(B46^2+B48^2+B49^2+B50^2+B51^2+B52^2+B53^2+B54^2+B55^2+B56^2+B57^2)</f>
        <v>7474.107429782692</v>
      </c>
      <c r="C59" s="15" t="s">
        <v>14</v>
      </c>
      <c r="D59" s="16"/>
      <c r="E59" s="7">
        <f>SQRT(E46^2+E48^2+E49^2+E50^2+E51^2+E52^2+E53^2+E54^2+E55^2+E56^2+E57^2)</f>
        <v>99.64038246929184</v>
      </c>
      <c r="F59" s="15" t="s">
        <v>14</v>
      </c>
      <c r="G59" s="16"/>
      <c r="H59" s="7">
        <f>SQRT(H46^2+H48^2+H49^2+H50^2+H51^2+H52^2+H53^2+H54^2+H55^2+H56^2+H57^2)</f>
        <v>860.5901101628514</v>
      </c>
      <c r="I59" s="15" t="s">
        <v>14</v>
      </c>
      <c r="J59" s="16"/>
      <c r="K59" s="7">
        <f>SQRT(K46^2+K48^2+K49^2+K50^2+K51^2+K52^2+K53^2+K54^2+K55^2+K56^2+K57^2)</f>
        <v>2650.572587774645</v>
      </c>
      <c r="L59" s="17" t="s">
        <v>14</v>
      </c>
    </row>
    <row r="60" spans="1:12" ht="12.75">
      <c r="A60" s="13" t="s">
        <v>0</v>
      </c>
      <c r="B60" s="7">
        <f>B19</f>
        <v>15640.273704789834</v>
      </c>
      <c r="C60" s="15" t="s">
        <v>14</v>
      </c>
      <c r="D60" s="16"/>
      <c r="E60" s="7">
        <f>E19</f>
        <v>122.07776353537203</v>
      </c>
      <c r="F60" s="15" t="s">
        <v>14</v>
      </c>
      <c r="G60" s="16"/>
      <c r="H60" s="7">
        <f>H19</f>
        <v>976.8009768009769</v>
      </c>
      <c r="I60" s="15" t="s">
        <v>14</v>
      </c>
      <c r="J60" s="16"/>
      <c r="K60" s="7">
        <f>K19</f>
        <v>3907.2039072039074</v>
      </c>
      <c r="L60" s="17" t="s">
        <v>14</v>
      </c>
    </row>
    <row r="61" spans="1:12" ht="12.75">
      <c r="A61" s="13" t="s">
        <v>63</v>
      </c>
      <c r="B61" s="7">
        <f>B60-B58</f>
        <v>738.2005027451705</v>
      </c>
      <c r="C61" s="15" t="s">
        <v>14</v>
      </c>
      <c r="D61" s="16"/>
      <c r="E61" s="7">
        <f>E60-E58</f>
        <v>-61.64274408854318</v>
      </c>
      <c r="F61" s="15" t="s">
        <v>14</v>
      </c>
      <c r="G61" s="16"/>
      <c r="H61" s="7">
        <f>H60-H58</f>
        <v>-1002.9975269955738</v>
      </c>
      <c r="I61" s="15" t="s">
        <v>14</v>
      </c>
      <c r="J61" s="16"/>
      <c r="K61" s="7">
        <f>K60-K58</f>
        <v>-1030.3952575457029</v>
      </c>
      <c r="L61" s="17" t="s">
        <v>14</v>
      </c>
    </row>
    <row r="62" spans="1:12" ht="12.75">
      <c r="A62" s="20" t="s">
        <v>64</v>
      </c>
      <c r="B62" s="37">
        <f>B60-B59</f>
        <v>8166.166275007142</v>
      </c>
      <c r="C62" s="22" t="s">
        <v>14</v>
      </c>
      <c r="D62" s="23"/>
      <c r="E62" s="37">
        <f>E60-E59</f>
        <v>22.437381066080192</v>
      </c>
      <c r="F62" s="22" t="s">
        <v>14</v>
      </c>
      <c r="G62" s="23"/>
      <c r="H62" s="37">
        <f>H60-H59</f>
        <v>116.21086663812548</v>
      </c>
      <c r="I62" s="22" t="s">
        <v>14</v>
      </c>
      <c r="J62" s="23"/>
      <c r="K62" s="37">
        <f>K60-K59</f>
        <v>1256.6313194292625</v>
      </c>
      <c r="L62" s="24" t="s">
        <v>14</v>
      </c>
    </row>
  </sheetData>
  <mergeCells count="10">
    <mergeCell ref="K1:L1"/>
    <mergeCell ref="A21:C21"/>
    <mergeCell ref="A2:C2"/>
    <mergeCell ref="B1:C1"/>
    <mergeCell ref="E1:F1"/>
    <mergeCell ref="H1:I1"/>
    <mergeCell ref="A45:C45"/>
    <mergeCell ref="A30:C30"/>
    <mergeCell ref="A31:C31"/>
    <mergeCell ref="A38:C38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&amp;LAN4300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 Integrated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Fry</dc:creator>
  <cp:keywords/>
  <dc:description/>
  <cp:lastModifiedBy>Dave Fry</cp:lastModifiedBy>
  <cp:lastPrinted>2008-09-24T16:43:41Z</cp:lastPrinted>
  <dcterms:created xsi:type="dcterms:W3CDTF">2008-04-30T12:31:54Z</dcterms:created>
  <dcterms:modified xsi:type="dcterms:W3CDTF">2008-09-25T20:40:53Z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