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24226"/>
  <mc:AlternateContent xmlns:mc="http://schemas.openxmlformats.org/markup-compatibility/2006">
    <mc:Choice Requires="x15">
      <x15ac:absPath xmlns:x15ac="http://schemas.microsoft.com/office/spreadsheetml/2010/11/ac" url="C:\Users\chapin.wong\Desktop\"/>
    </mc:Choice>
  </mc:AlternateContent>
  <xr:revisionPtr revIDLastSave="0" documentId="8_{CF75A23C-0CA7-4013-8EF3-0EDBAC5047CB}" xr6:coauthVersionLast="43" xr6:coauthVersionMax="43" xr10:uidLastSave="{00000000-0000-0000-0000-000000000000}"/>
  <bookViews>
    <workbookView xWindow="-110" yWindow="-110" windowWidth="19420" windowHeight="10420" activeTab="1" xr2:uid="{00000000-000D-0000-FFFF-FFFF00000000}"/>
  </bookViews>
  <sheets>
    <sheet name="Instructions" sheetId="5" r:id="rId1"/>
    <sheet name="Calculator" sheetId="1" r:id="rId2"/>
  </sheets>
  <definedNames>
    <definedName name="c_out_effective">VLOOKUP("c_out_effective",Table1[[Symbol]:[last_column]],COLUMN()-COLUMN(Table1[Symbol])+1, FALSE)</definedName>
    <definedName name="c_out_required">VLOOKUP("c_out_required",Table1[[Symbol]:[last_column]],COLUMN()-COLUMN(Table1[Symbol])+1, FALSE)</definedName>
    <definedName name="dV_dtss">VLOOKUP("dV_dtss",Table1[[Symbol]:[last_column]],COLUMN()-COLUMN(Table1[Symbol])+1, FALSE)</definedName>
    <definedName name="e_c_out_actual">VLOOKUP("e_c_out_actual",Table1[[Symbol]:[last_column]],COLUMN()-COLUMN(Table1[Symbol])+1, FALSE)</definedName>
    <definedName name="e_c_out_delivered">VLOOKUP("e_c_out_delivered",Table1[[Symbol]:[last_column]],COLUMN()-COLUMN(Table1[Symbol])+1, FALSE)</definedName>
    <definedName name="e_c_out_peak_actual">VLOOKUP("e_c_out_peak_actual",Table1[[Symbol]:[last_column]],COLUMN()-COLUMN(Table1[Symbol])+1, FALSE)</definedName>
    <definedName name="e_delivered">VLOOKUP("e_delivered",Table1[[Symbol]:[last_column]],COLUMN()-COLUMN(Table1[Symbol])+1, FALSE)</definedName>
    <definedName name="e_dis">VLOOKUP("e_dis",Table1[[Symbol]:[last_column]],COLUMN()-COLUMN(Table1[Symbol])+1, FALSE)</definedName>
    <definedName name="e_L_peak">VLOOKUP("e_L_peak",Table1[[Symbol]:[last_column]],COLUMN()-COLUMN(Table1[Symbol])+1, FALSE)</definedName>
    <definedName name="e_load_dis">VLOOKUP("e_load_dis",Table1[[Symbol]:[last_column]],COLUMN()-COLUMN(Table1[Symbol])+1, FALSE)</definedName>
    <definedName name="efficiency">VLOOKUP("efficiency",Table1[[Symbol]:[last_column]],COLUMN()-COLUMN(Table1[Symbol])+1, FALSE)</definedName>
    <definedName name="f_out">VLOOKUP("f_out",Table1[[Symbol]:[last_column]],COLUMN()-COLUMN(Table1[Symbol])+1, FALSE)</definedName>
    <definedName name="i_c_out_tss">VLOOKUP("i_c_out_tss",Table1[[Symbol]:[last_column]],COLUMN()-COLUMN(Table1[Symbol])+1, FALSE)</definedName>
    <definedName name="i_chgin_def">VLOOKUP("i_chgin_def",Table1[[Symbol]:[last_column]],COLUMN()-COLUMN(Table1[Symbol])+1, FALSE)</definedName>
    <definedName name="i_dis_rms">VLOOKUP("i_dis_rms",Table1[[Symbol]:[last_column]],COLUMN()-COLUMN(Table1[Symbol])+1, FALSE)</definedName>
    <definedName name="i_out">VLOOKUP("i_out",Table1[[Symbol]:[last_column]],COLUMN()-COLUMN(Table1[Symbol])+1, FALSE)</definedName>
    <definedName name="i_out_max">VLOOKUP("i_out_max",Table1[[Symbol]:[last_column]],COLUMN()-COLUMN(Table1[Symbol])+1, FALSE)</definedName>
    <definedName name="i_peak">VLOOKUP("i_peak",Table1[[Symbol]:[last_column]],COLUMN()-COLUMN(Table1[Symbol])+1, FALSE)</definedName>
    <definedName name="L">VLOOKUP("L",Table1[[Symbol]:[last_column]],COLUMN()-COLUMN(Table1[Symbol])+1, FALSE)</definedName>
    <definedName name="p_out_max">VLOOKUP("p_out_max",Table1[[Symbol]:[last_column]],COLUMN()-COLUMN(Table1[Symbol])+1, FALSE)</definedName>
    <definedName name="r_c_in">VLOOKUP("r_c_in",Table1[[Symbol]:[last_column]],COLUMN()-COLUMN(Table1[Symbol])+1, FALSE)</definedName>
    <definedName name="r_c_out">VLOOKUP("r_c_out",Table1[[Symbol]:[last_column]],COLUMN()-COLUMN(Table1[Symbol])+1, FALSE)</definedName>
    <definedName name="r_chg">VLOOKUP("r_chg",Table1[[Symbol]:[last_column]],COLUMN()-COLUMN(Table1[Symbol])+1, FALSE)</definedName>
    <definedName name="r_dis">VLOOKUP("r_dis",Table1[[Symbol]:[last_column]],COLUMN()-COLUMN(Table1[Symbol])+1, FALSE)</definedName>
    <definedName name="r_L_dcr">VLOOKUP("r_L_dcr",Table1[[Symbol]:[last_column]],COLUMN()-COLUMN(Table1[Symbol])+1, FALSE)</definedName>
    <definedName name="r_m1">VLOOKUP("r_m1",Table1[[Symbol]:[last_column]],COLUMN()-COLUMN(Table1[Symbol])+1, FALSE)</definedName>
    <definedName name="r_m2">VLOOKUP("r_m2",Table1[[Symbol]:[last_column]],COLUMN()-COLUMN(Table1[Symbol])+1, FALSE)</definedName>
    <definedName name="r_m3">VLOOKUP("r_m3",Table1[[Symbol]:[last_column]],COLUMN()-COLUMN(Table1[Symbol])+1, FALSE)</definedName>
    <definedName name="r_m4">VLOOKUP("r_m4",Table1[[Symbol]:[last_column]],COLUMN()-COLUMN(Table1[Symbol])+1, FALSE)</definedName>
    <definedName name="t_chg">VLOOKUP("t_chg",Table1[[Symbol]:[last_column]],COLUMN()-COLUMN(Table1[Symbol])+1, FALSE)</definedName>
    <definedName name="t_dis">VLOOKUP("t_dis",Table1[[Symbol]:[last_column]],COLUMN()-COLUMN(Table1[Symbol])+1, FALSE)</definedName>
    <definedName name="t_error_comp">VLOOKUP("t_error_comp",Table1[[Symbol]:[last_column]],COLUMN()-COLUMN(Table1[Symbol])+1, FALSE)</definedName>
    <definedName name="t_period">VLOOKUP("t_period",Table1[[Symbol]:[last_column]],COLUMN()-COLUMN(Table1[Symbol])+1, FALSE)</definedName>
    <definedName name="t_service">VLOOKUP("t_service",Table1[[Symbol]:[last_column]],COLUMN()-COLUMN(Table1[Symbol])+1, FALSE)</definedName>
    <definedName name="t_undershoot">VLOOKUP("t_undershoot",Table1[[Symbol]:[last_column]],COLUMN()-COLUMN(Table1[Symbol])+1, FALSE)</definedName>
    <definedName name="v_c_out_peak_actual">VLOOKUP("v_C_out_peak_actual",Table1[[Symbol]:[last_column]],COLUMN()-COLUMN(Table1[Symbol])+1, FALSE)</definedName>
    <definedName name="v_c_out_peak_target">VLOOKUP("v_c_out_peak_target",Table1[[Symbol]:[last_column]],COLUMN()-COLUMN(Table1[Symbol])+1, FALSE)</definedName>
    <definedName name="v_c_out_ripple_actual">VLOOKUP("v_c_out_ripple_actual",Table1[[Symbol]:[last_column]],COLUMN()-COLUMN(Table1[Symbol])+1, FALSE)</definedName>
    <definedName name="v_c_out_ripple_no_load">VLOOKUP("v_c_out_ripple_no_load",Table1[[Symbol]:[last_column]],COLUMN()-COLUMN(Table1[Symbol])+1, FALSE)</definedName>
    <definedName name="v_c_out_ripple_target">VLOOKUP("v_c_out_ripple_target",Table1[[Symbol]:[last_column]],COLUMN()-COLUMN(Table1[Symbol])+1, FALSE)</definedName>
    <definedName name="v_in">VLOOKUP("v_in",Table1[[Symbol]:[last_column]],COLUMN()-COLUMN(Table1[Symbol])+1, FALSE)</definedName>
    <definedName name="v_out">VLOOKUP("v_out",Table1[[Symbol]:[last_column]],COLUMN()-COLUMN(Table1[Symbol])+1, FALSE)</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1" i="1" l="1"/>
  <c r="H55" i="1" l="1"/>
  <c r="D55" i="1"/>
  <c r="L55" i="1"/>
  <c r="D58" i="1" l="1"/>
  <c r="D17" i="1" l="1"/>
  <c r="D16" i="1"/>
  <c r="L4" i="1" l="1"/>
  <c r="L3" i="1"/>
  <c r="L58" i="1" l="1"/>
  <c r="Q29" i="1"/>
  <c r="Q23" i="1"/>
  <c r="Q28" i="1"/>
  <c r="Q27" i="1"/>
  <c r="Q26" i="1"/>
  <c r="Q25" i="1"/>
  <c r="Q22" i="1"/>
  <c r="Q20" i="1"/>
  <c r="Q19" i="1"/>
  <c r="F36" i="1"/>
  <c r="E36" i="1"/>
  <c r="D36" i="1"/>
  <c r="J36" i="1"/>
  <c r="I36" i="1"/>
  <c r="H36" i="1"/>
  <c r="N36" i="1"/>
  <c r="M36" i="1"/>
  <c r="F35" i="1"/>
  <c r="E35" i="1"/>
  <c r="D35" i="1"/>
  <c r="J35" i="1"/>
  <c r="I35" i="1"/>
  <c r="H35" i="1"/>
  <c r="N35" i="1"/>
  <c r="M35" i="1"/>
  <c r="F34" i="1"/>
  <c r="E34" i="1"/>
  <c r="D34" i="1"/>
  <c r="J34" i="1"/>
  <c r="I34" i="1"/>
  <c r="H34" i="1"/>
  <c r="N34" i="1"/>
  <c r="M34" i="1"/>
  <c r="F33" i="1"/>
  <c r="E33" i="1"/>
  <c r="D33" i="1"/>
  <c r="J33" i="1"/>
  <c r="I33" i="1"/>
  <c r="H33" i="1"/>
  <c r="N33" i="1"/>
  <c r="M33" i="1"/>
  <c r="L11" i="1" l="1"/>
  <c r="L73" i="1" l="1"/>
  <c r="L60" i="1"/>
  <c r="P17" i="1"/>
  <c r="L17" i="1"/>
  <c r="P16" i="1"/>
  <c r="L16" i="1"/>
  <c r="P22" i="1"/>
  <c r="P21" i="1"/>
  <c r="P18" i="1"/>
  <c r="F10" i="1" l="1"/>
  <c r="E10" i="1"/>
  <c r="E11" i="1" s="1"/>
  <c r="N10" i="1"/>
  <c r="M10" i="1"/>
  <c r="N4" i="1" l="1"/>
  <c r="M4" i="1"/>
  <c r="F2" i="1"/>
  <c r="F55" i="1" s="1"/>
  <c r="E2" i="1"/>
  <c r="E55" i="1" s="1"/>
  <c r="J2" i="1"/>
  <c r="J55" i="1" s="1"/>
  <c r="I2" i="1"/>
  <c r="I55" i="1" s="1"/>
  <c r="N2" i="1"/>
  <c r="N55" i="1" s="1"/>
  <c r="M2" i="1"/>
  <c r="M55" i="1" s="1"/>
  <c r="M17" i="1" l="1"/>
  <c r="N17" i="1"/>
  <c r="N7" i="1"/>
  <c r="M7" i="1"/>
  <c r="J10" i="1" l="1"/>
  <c r="I10" i="1"/>
  <c r="J7" i="1"/>
  <c r="I7" i="1"/>
  <c r="F7" i="1"/>
  <c r="E7" i="1"/>
  <c r="N8" i="1"/>
  <c r="H8" i="1"/>
  <c r="I8" i="1"/>
  <c r="J8" i="1"/>
  <c r="D8" i="1"/>
  <c r="E8" i="1"/>
  <c r="F8" i="1"/>
  <c r="M8" i="1"/>
  <c r="N6" i="1"/>
  <c r="H6" i="1"/>
  <c r="I6" i="1"/>
  <c r="J6" i="1"/>
  <c r="D6" i="1"/>
  <c r="E6" i="1"/>
  <c r="F6" i="1"/>
  <c r="M6" i="1"/>
  <c r="N5" i="1"/>
  <c r="N54" i="1" s="1"/>
  <c r="H5" i="1"/>
  <c r="I5" i="1"/>
  <c r="J5" i="1"/>
  <c r="D5" i="1"/>
  <c r="E5" i="1"/>
  <c r="F5" i="1"/>
  <c r="M5" i="1"/>
  <c r="M54" i="1" s="1"/>
  <c r="H3" i="1"/>
  <c r="H16" i="1" s="1"/>
  <c r="N3" i="1"/>
  <c r="M3" i="1"/>
  <c r="F37" i="1"/>
  <c r="F39" i="1" s="1"/>
  <c r="F54" i="1"/>
  <c r="F32" i="1"/>
  <c r="F11" i="1"/>
  <c r="F23" i="1" s="1"/>
  <c r="F4" i="1"/>
  <c r="F3" i="1"/>
  <c r="E37" i="1"/>
  <c r="E39" i="1" s="1"/>
  <c r="E32" i="1"/>
  <c r="E4" i="1"/>
  <c r="E3" i="1"/>
  <c r="J37" i="1"/>
  <c r="J39" i="1" s="1"/>
  <c r="J32" i="1"/>
  <c r="J11" i="1"/>
  <c r="J23" i="1" s="1"/>
  <c r="J4" i="1"/>
  <c r="J3" i="1"/>
  <c r="J16" i="1" s="1"/>
  <c r="I37" i="1"/>
  <c r="I39" i="1" s="1"/>
  <c r="I54" i="1"/>
  <c r="I32" i="1"/>
  <c r="I4" i="1"/>
  <c r="I3" i="1"/>
  <c r="I16" i="1" s="1"/>
  <c r="N68" i="1"/>
  <c r="N39" i="1"/>
  <c r="N44" i="1" s="1"/>
  <c r="N11" i="1"/>
  <c r="M68" i="1"/>
  <c r="M39" i="1"/>
  <c r="M44" i="1" s="1"/>
  <c r="M11" i="1"/>
  <c r="N61" i="1" l="1"/>
  <c r="M61" i="1"/>
  <c r="F61" i="1"/>
  <c r="N16" i="1"/>
  <c r="N58" i="1"/>
  <c r="J60" i="1"/>
  <c r="J58" i="1"/>
  <c r="F60" i="1"/>
  <c r="F58" i="1"/>
  <c r="I58" i="1"/>
  <c r="E58" i="1"/>
  <c r="M16" i="1"/>
  <c r="M58" i="1"/>
  <c r="E23" i="1"/>
  <c r="D18" i="1"/>
  <c r="M23" i="1"/>
  <c r="L18" i="1"/>
  <c r="M60" i="1"/>
  <c r="N23" i="1"/>
  <c r="N60" i="1"/>
  <c r="E60" i="1"/>
  <c r="F16" i="1"/>
  <c r="E16" i="1"/>
  <c r="I68" i="1"/>
  <c r="I17" i="1"/>
  <c r="J68" i="1"/>
  <c r="J17" i="1"/>
  <c r="E68" i="1"/>
  <c r="E17" i="1"/>
  <c r="F68" i="1"/>
  <c r="F17" i="1"/>
  <c r="E54" i="1"/>
  <c r="J54" i="1"/>
  <c r="E44" i="1"/>
  <c r="E46" i="1" s="1"/>
  <c r="M46" i="1"/>
  <c r="F44" i="1"/>
  <c r="F45" i="1" s="1"/>
  <c r="I44" i="1"/>
  <c r="N53" i="1"/>
  <c r="N59" i="1" s="1"/>
  <c r="J44" i="1"/>
  <c r="J46" i="1" s="1"/>
  <c r="J99" i="1"/>
  <c r="J50" i="1"/>
  <c r="E99" i="1"/>
  <c r="E50" i="1"/>
  <c r="F99" i="1"/>
  <c r="F50" i="1"/>
  <c r="N99" i="1"/>
  <c r="N50" i="1"/>
  <c r="M99" i="1"/>
  <c r="M50" i="1"/>
  <c r="N46" i="1"/>
  <c r="N45" i="1"/>
  <c r="M45" i="1"/>
  <c r="F53" i="1"/>
  <c r="F59" i="1" s="1"/>
  <c r="F63" i="1" s="1"/>
  <c r="I53" i="1"/>
  <c r="I59" i="1" s="1"/>
  <c r="I63" i="1" s="1"/>
  <c r="M53" i="1"/>
  <c r="M59" i="1" s="1"/>
  <c r="E53" i="1"/>
  <c r="E59" i="1" s="1"/>
  <c r="E63" i="1" s="1"/>
  <c r="M43" i="1"/>
  <c r="J53" i="1"/>
  <c r="J59" i="1" s="1"/>
  <c r="J63" i="1" s="1"/>
  <c r="F73" i="1"/>
  <c r="F43" i="1"/>
  <c r="E73" i="1"/>
  <c r="E43" i="1"/>
  <c r="J73" i="1"/>
  <c r="J43" i="1"/>
  <c r="N43" i="1"/>
  <c r="N73" i="1"/>
  <c r="M73" i="1"/>
  <c r="L39" i="1"/>
  <c r="L44" i="1" s="1"/>
  <c r="D37" i="1"/>
  <c r="D39" i="1" s="1"/>
  <c r="D44" i="1" s="1"/>
  <c r="H37" i="1"/>
  <c r="H39" i="1" s="1"/>
  <c r="H44" i="1" s="1"/>
  <c r="F46" i="1" l="1"/>
  <c r="J61" i="1"/>
  <c r="J69" i="1" s="1"/>
  <c r="E61" i="1"/>
  <c r="E69" i="1" s="1"/>
  <c r="N63" i="1"/>
  <c r="E45" i="1"/>
  <c r="J45" i="1"/>
  <c r="N62" i="1"/>
  <c r="M69" i="1"/>
  <c r="M71" i="1" s="1"/>
  <c r="M76" i="1" s="1"/>
  <c r="M98" i="1" s="1"/>
  <c r="M88" i="1"/>
  <c r="M63" i="1"/>
  <c r="M62" i="1"/>
  <c r="F62" i="1"/>
  <c r="F88" i="1"/>
  <c r="F69" i="1"/>
  <c r="F71" i="1" s="1"/>
  <c r="F76" i="1" s="1"/>
  <c r="N69" i="1"/>
  <c r="N71" i="1" s="1"/>
  <c r="N76" i="1" s="1"/>
  <c r="N98" i="1" s="1"/>
  <c r="N104" i="1" s="1"/>
  <c r="N88" i="1"/>
  <c r="H4" i="1"/>
  <c r="H58" i="1" s="1"/>
  <c r="J88" i="1" l="1"/>
  <c r="J62" i="1"/>
  <c r="E88" i="1"/>
  <c r="H17" i="1"/>
  <c r="E62" i="1"/>
  <c r="M25" i="1"/>
  <c r="M28" i="1" s="1"/>
  <c r="M104" i="1"/>
  <c r="F98" i="1"/>
  <c r="F104" i="1" s="1"/>
  <c r="N25" i="1"/>
  <c r="N28" i="1" s="1"/>
  <c r="M80" i="1"/>
  <c r="E71" i="1"/>
  <c r="M81" i="1"/>
  <c r="M49" i="1" s="1"/>
  <c r="J71" i="1"/>
  <c r="F81" i="1"/>
  <c r="F49" i="1" s="1"/>
  <c r="F80" i="1"/>
  <c r="N81" i="1"/>
  <c r="N49" i="1" s="1"/>
  <c r="N80" i="1"/>
  <c r="J81" i="1" l="1"/>
  <c r="J49" i="1" s="1"/>
  <c r="E80" i="1"/>
  <c r="F25" i="1"/>
  <c r="F28" i="1" s="1"/>
  <c r="E81" i="1"/>
  <c r="E49" i="1" s="1"/>
  <c r="E76" i="1"/>
  <c r="J76" i="1"/>
  <c r="J98" i="1" s="1"/>
  <c r="J104" i="1" s="1"/>
  <c r="J80" i="1"/>
  <c r="L23" i="1"/>
  <c r="D11" i="1"/>
  <c r="H11" i="1"/>
  <c r="H23" i="1" l="1"/>
  <c r="H60" i="1"/>
  <c r="D23" i="1"/>
  <c r="D60" i="1"/>
  <c r="J25" i="1"/>
  <c r="J28" i="1" s="1"/>
  <c r="E98" i="1"/>
  <c r="E104" i="1" s="1"/>
  <c r="L50" i="1"/>
  <c r="L46" i="1"/>
  <c r="L45" i="1"/>
  <c r="H50" i="1"/>
  <c r="H46" i="1"/>
  <c r="H45" i="1"/>
  <c r="D50" i="1"/>
  <c r="D46" i="1"/>
  <c r="H43" i="1"/>
  <c r="D43" i="1"/>
  <c r="L43" i="1"/>
  <c r="L54" i="1"/>
  <c r="L53" i="1"/>
  <c r="D32" i="1"/>
  <c r="H32" i="1"/>
  <c r="D73" i="1"/>
  <c r="H73" i="1"/>
  <c r="L68" i="1"/>
  <c r="L61" i="1" l="1"/>
  <c r="D68" i="1"/>
  <c r="E25" i="1"/>
  <c r="E28" i="1" s="1"/>
  <c r="D45" i="1"/>
  <c r="H53" i="1"/>
  <c r="H59" i="1" s="1"/>
  <c r="D53" i="1"/>
  <c r="D59" i="1" s="1"/>
  <c r="H54" i="1"/>
  <c r="D54" i="1"/>
  <c r="L59" i="1"/>
  <c r="H68" i="1"/>
  <c r="H61" i="1" l="1"/>
  <c r="H62" i="1" s="1"/>
  <c r="D61" i="1"/>
  <c r="L62" i="1"/>
  <c r="D63" i="1"/>
  <c r="L69" i="1"/>
  <c r="L71" i="1" s="1"/>
  <c r="H63" i="1"/>
  <c r="L63" i="1"/>
  <c r="L88" i="1"/>
  <c r="H69" i="1" l="1"/>
  <c r="H71" i="1" s="1"/>
  <c r="H88" i="1"/>
  <c r="L80" i="1"/>
  <c r="L76" i="1"/>
  <c r="L98" i="1" s="1"/>
  <c r="L81" i="1"/>
  <c r="L95" i="1" s="1"/>
  <c r="L27" i="1" s="1"/>
  <c r="D62" i="1"/>
  <c r="D69" i="1"/>
  <c r="D88" i="1"/>
  <c r="L25" i="1" l="1"/>
  <c r="L28" i="1" s="1"/>
  <c r="L104" i="1"/>
  <c r="L94" i="1"/>
  <c r="L47" i="1"/>
  <c r="N12" i="1"/>
  <c r="N18" i="1" s="1"/>
  <c r="M12" i="1"/>
  <c r="L70" i="1"/>
  <c r="L72" i="1" s="1"/>
  <c r="L74" i="1" s="1"/>
  <c r="L93" i="1"/>
  <c r="L91" i="1"/>
  <c r="L49" i="1"/>
  <c r="H81" i="1"/>
  <c r="H76" i="1"/>
  <c r="H98" i="1" s="1"/>
  <c r="H80" i="1"/>
  <c r="L82" i="1"/>
  <c r="L19" i="1" s="1"/>
  <c r="D71" i="1"/>
  <c r="D76" i="1" s="1"/>
  <c r="D98" i="1" s="1"/>
  <c r="D104" i="1" s="1"/>
  <c r="M18" i="1" l="1"/>
  <c r="M13" i="1"/>
  <c r="H25" i="1"/>
  <c r="H28" i="1" s="1"/>
  <c r="H104" i="1"/>
  <c r="L86" i="1"/>
  <c r="D25" i="1"/>
  <c r="D28" i="1" s="1"/>
  <c r="L100" i="1"/>
  <c r="L103" i="1" s="1"/>
  <c r="L24" i="1"/>
  <c r="L29" i="1" s="1"/>
  <c r="L75" i="1"/>
  <c r="L77" i="1" s="1"/>
  <c r="H49" i="1"/>
  <c r="M47" i="1"/>
  <c r="M70" i="1"/>
  <c r="M72" i="1" s="1"/>
  <c r="M74" i="1" s="1"/>
  <c r="M75" i="1" s="1"/>
  <c r="M77" i="1" s="1"/>
  <c r="M26" i="1" s="1"/>
  <c r="M94" i="1"/>
  <c r="M91" i="1"/>
  <c r="M24" i="1" s="1"/>
  <c r="M82" i="1"/>
  <c r="M19" i="1" s="1"/>
  <c r="N47" i="1"/>
  <c r="N95" i="1"/>
  <c r="N27" i="1" s="1"/>
  <c r="N93" i="1"/>
  <c r="N91" i="1"/>
  <c r="N70" i="1"/>
  <c r="N72" i="1" s="1"/>
  <c r="N74" i="1" s="1"/>
  <c r="N75" i="1" s="1"/>
  <c r="N77" i="1" s="1"/>
  <c r="N26" i="1" s="1"/>
  <c r="N94" i="1"/>
  <c r="N82" i="1"/>
  <c r="N19" i="1" s="1"/>
  <c r="D81" i="1"/>
  <c r="D80" i="1"/>
  <c r="L21" i="1" l="1"/>
  <c r="L64" i="1"/>
  <c r="L65" i="1" s="1"/>
  <c r="L26" i="1"/>
  <c r="L101" i="1"/>
  <c r="L102" i="1"/>
  <c r="N100" i="1"/>
  <c r="N102" i="1" s="1"/>
  <c r="N24" i="1"/>
  <c r="N29" i="1" s="1"/>
  <c r="L105" i="1"/>
  <c r="M100" i="1"/>
  <c r="M86" i="1"/>
  <c r="D49" i="1"/>
  <c r="N86" i="1"/>
  <c r="D82" i="1"/>
  <c r="N21" i="1" l="1"/>
  <c r="N64" i="1"/>
  <c r="N65" i="1" s="1"/>
  <c r="M21" i="1"/>
  <c r="M64" i="1"/>
  <c r="M65" i="1" s="1"/>
  <c r="D19" i="1"/>
  <c r="N101" i="1"/>
  <c r="N103" i="1"/>
  <c r="N105" i="1" s="1"/>
  <c r="N106" i="1" s="1"/>
  <c r="N107" i="1" s="1"/>
  <c r="F12" i="1"/>
  <c r="F18" i="1" s="1"/>
  <c r="E12" i="1"/>
  <c r="D47" i="1"/>
  <c r="D97" i="1"/>
  <c r="D27" i="1" s="1"/>
  <c r="D93" i="1"/>
  <c r="D92" i="1"/>
  <c r="D91" i="1"/>
  <c r="D70" i="1"/>
  <c r="D72" i="1" s="1"/>
  <c r="D74" i="1" s="1"/>
  <c r="D75" i="1" s="1"/>
  <c r="D77" i="1" s="1"/>
  <c r="D26" i="1" s="1"/>
  <c r="H99" i="1"/>
  <c r="D99" i="1"/>
  <c r="L99" i="1"/>
  <c r="E18" i="1" l="1"/>
  <c r="E13" i="1"/>
  <c r="D100" i="1"/>
  <c r="D101" i="1" s="1"/>
  <c r="D24" i="1"/>
  <c r="D29" i="1" s="1"/>
  <c r="E47" i="1"/>
  <c r="E70" i="1"/>
  <c r="E72" i="1" s="1"/>
  <c r="E74" i="1" s="1"/>
  <c r="E75" i="1" s="1"/>
  <c r="E77" i="1" s="1"/>
  <c r="E26" i="1" s="1"/>
  <c r="E91" i="1"/>
  <c r="E92" i="1"/>
  <c r="E82" i="1"/>
  <c r="E19" i="1" s="1"/>
  <c r="D86" i="1"/>
  <c r="D64" i="1" s="1"/>
  <c r="D65" i="1" s="1"/>
  <c r="F47" i="1"/>
  <c r="F97" i="1"/>
  <c r="F27" i="1" s="1"/>
  <c r="F91" i="1"/>
  <c r="F70" i="1"/>
  <c r="F72" i="1" s="1"/>
  <c r="F93" i="1"/>
  <c r="F92" i="1"/>
  <c r="F82" i="1"/>
  <c r="D103" i="1" l="1"/>
  <c r="D105" i="1" s="1"/>
  <c r="D21" i="1"/>
  <c r="F19" i="1"/>
  <c r="D102" i="1"/>
  <c r="F100" i="1"/>
  <c r="F101" i="1" s="1"/>
  <c r="F24" i="1"/>
  <c r="F29" i="1" s="1"/>
  <c r="E100" i="1"/>
  <c r="E24" i="1"/>
  <c r="E86" i="1"/>
  <c r="F86" i="1"/>
  <c r="F64" i="1" s="1"/>
  <c r="F65" i="1" s="1"/>
  <c r="F74" i="1"/>
  <c r="F75" i="1" s="1"/>
  <c r="F77" i="1" s="1"/>
  <c r="F26" i="1" s="1"/>
  <c r="F102" i="1" l="1"/>
  <c r="E21" i="1"/>
  <c r="E64" i="1"/>
  <c r="E65" i="1" s="1"/>
  <c r="D106" i="1"/>
  <c r="D107" i="1" s="1"/>
  <c r="F21" i="1"/>
  <c r="F103" i="1"/>
  <c r="F105" i="1" s="1"/>
  <c r="F106" i="1" s="1"/>
  <c r="F107" i="1" s="1"/>
  <c r="L106" i="1"/>
  <c r="L107" i="1" s="1"/>
  <c r="I11" i="1" l="1"/>
  <c r="I61" i="1" s="1"/>
  <c r="M93" i="1" l="1"/>
  <c r="M101" i="1" s="1"/>
  <c r="E97" i="1"/>
  <c r="E103" i="1" s="1"/>
  <c r="E105" i="1" s="1"/>
  <c r="I23" i="1"/>
  <c r="I60" i="1"/>
  <c r="I50" i="1"/>
  <c r="I46" i="1"/>
  <c r="I45" i="1"/>
  <c r="M95" i="1"/>
  <c r="I62" i="1"/>
  <c r="I43" i="1"/>
  <c r="I88" i="1"/>
  <c r="E93" i="1"/>
  <c r="I99" i="1"/>
  <c r="I69" i="1"/>
  <c r="I73" i="1"/>
  <c r="M102" i="1" l="1"/>
  <c r="H18" i="1"/>
  <c r="H82" i="1"/>
  <c r="I12" i="1"/>
  <c r="I13" i="1" s="1"/>
  <c r="H92" i="1"/>
  <c r="J12" i="1"/>
  <c r="H94" i="1"/>
  <c r="H47" i="1"/>
  <c r="L48" i="1" s="1"/>
  <c r="H96" i="1"/>
  <c r="H27" i="1" s="1"/>
  <c r="H70" i="1"/>
  <c r="H72" i="1" s="1"/>
  <c r="H74" i="1" s="1"/>
  <c r="H75" i="1" s="1"/>
  <c r="H77" i="1" s="1"/>
  <c r="H26" i="1" s="1"/>
  <c r="H91" i="1"/>
  <c r="E106" i="1"/>
  <c r="E107" i="1" s="1"/>
  <c r="E27" i="1"/>
  <c r="E29" i="1" s="1"/>
  <c r="M103" i="1"/>
  <c r="M105" i="1" s="1"/>
  <c r="M106" i="1" s="1"/>
  <c r="M107" i="1" s="1"/>
  <c r="M27" i="1"/>
  <c r="M29" i="1" s="1"/>
  <c r="E102" i="1"/>
  <c r="E101" i="1"/>
  <c r="I71" i="1"/>
  <c r="I76" i="1" s="1"/>
  <c r="I98" i="1" s="1"/>
  <c r="I104" i="1" s="1"/>
  <c r="H86" i="1" l="1"/>
  <c r="I18" i="1"/>
  <c r="I92" i="1"/>
  <c r="I94" i="1"/>
  <c r="I96" i="1"/>
  <c r="I27" i="1" s="1"/>
  <c r="I91" i="1"/>
  <c r="I70" i="1"/>
  <c r="I72" i="1" s="1"/>
  <c r="I74" i="1" s="1"/>
  <c r="I75" i="1" s="1"/>
  <c r="I77" i="1" s="1"/>
  <c r="I26" i="1" s="1"/>
  <c r="I47" i="1"/>
  <c r="M48" i="1" s="1"/>
  <c r="H100" i="1"/>
  <c r="H24" i="1"/>
  <c r="H29" i="1" s="1"/>
  <c r="H19" i="1"/>
  <c r="D20" i="1" s="1"/>
  <c r="D83" i="1"/>
  <c r="J18" i="1"/>
  <c r="J91" i="1"/>
  <c r="J70" i="1"/>
  <c r="J72" i="1" s="1"/>
  <c r="J74" i="1" s="1"/>
  <c r="J75" i="1" s="1"/>
  <c r="J77" i="1" s="1"/>
  <c r="J26" i="1" s="1"/>
  <c r="J82" i="1"/>
  <c r="J94" i="1"/>
  <c r="J47" i="1"/>
  <c r="N48" i="1" s="1"/>
  <c r="J92" i="1"/>
  <c r="J96" i="1"/>
  <c r="J27" i="1" s="1"/>
  <c r="I25" i="1"/>
  <c r="I28" i="1" s="1"/>
  <c r="I81" i="1"/>
  <c r="I49" i="1" s="1"/>
  <c r="I80" i="1"/>
  <c r="I86" i="1" l="1"/>
  <c r="I64" i="1" s="1"/>
  <c r="I65" i="1" s="1"/>
  <c r="J24" i="1"/>
  <c r="J29" i="1" s="1"/>
  <c r="J100" i="1"/>
  <c r="I100" i="1"/>
  <c r="I24" i="1"/>
  <c r="I29" i="1" s="1"/>
  <c r="J86" i="1"/>
  <c r="H102" i="1"/>
  <c r="H103" i="1"/>
  <c r="H105" i="1" s="1"/>
  <c r="H106" i="1" s="1"/>
  <c r="H107" i="1" s="1"/>
  <c r="H21" i="1"/>
  <c r="H64" i="1"/>
  <c r="H65" i="1" s="1"/>
  <c r="D87" i="1"/>
  <c r="D22" i="1" s="1"/>
  <c r="J19" i="1"/>
  <c r="F20" i="1" s="1"/>
  <c r="F83" i="1"/>
  <c r="H101" i="1"/>
  <c r="I82" i="1"/>
  <c r="I21" i="1" l="1"/>
  <c r="E87" i="1"/>
  <c r="E22" i="1" s="1"/>
  <c r="I101" i="1"/>
  <c r="I102" i="1"/>
  <c r="I103" i="1"/>
  <c r="I105" i="1" s="1"/>
  <c r="I106" i="1" s="1"/>
  <c r="I107" i="1" s="1"/>
  <c r="J103" i="1"/>
  <c r="J105" i="1" s="1"/>
  <c r="J106" i="1" s="1"/>
  <c r="J107" i="1" s="1"/>
  <c r="J102" i="1"/>
  <c r="J21" i="1"/>
  <c r="J64" i="1"/>
  <c r="J65" i="1" s="1"/>
  <c r="F87" i="1"/>
  <c r="F22" i="1" s="1"/>
  <c r="J101" i="1"/>
  <c r="E83" i="1"/>
  <c r="I19" i="1"/>
  <c r="E20" i="1" s="1"/>
</calcChain>
</file>

<file path=xl/sharedStrings.xml><?xml version="1.0" encoding="utf-8"?>
<sst xmlns="http://schemas.openxmlformats.org/spreadsheetml/2006/main" count="415" uniqueCount="205">
  <si>
    <t>L</t>
  </si>
  <si>
    <t>V</t>
  </si>
  <si>
    <t>J</t>
  </si>
  <si>
    <t>Unit</t>
  </si>
  <si>
    <t>Symbol</t>
  </si>
  <si>
    <t>Calculated</t>
  </si>
  <si>
    <t>Enter</t>
  </si>
  <si>
    <t>A</t>
  </si>
  <si>
    <t>F</t>
  </si>
  <si>
    <t>Ω</t>
  </si>
  <si>
    <t>Given</t>
  </si>
  <si>
    <t>RMS value of the current during the discharge time</t>
  </si>
  <si>
    <t>Energy lost due to conduction losses during the inductor discharge phase</t>
  </si>
  <si>
    <t>Energy lost from the output capacitor due to the load during the discharge phase</t>
  </si>
  <si>
    <t>Action</t>
  </si>
  <si>
    <t>Comment</t>
  </si>
  <si>
    <t>H</t>
  </si>
  <si>
    <t>s</t>
  </si>
  <si>
    <r>
      <t xml:space="preserve">Energy stored in the </t>
    </r>
    <r>
      <rPr>
        <u/>
        <sz val="11"/>
        <color theme="1"/>
        <rFont val="Calibri"/>
        <family val="2"/>
        <scheme val="minor"/>
      </rPr>
      <t>effective</t>
    </r>
    <r>
      <rPr>
        <sz val="11"/>
        <color theme="1"/>
        <rFont val="Calibri"/>
        <family val="2"/>
        <scheme val="minor"/>
      </rPr>
      <t xml:space="preserve"> output capacitor when it is at its target output voltage (V.OUT) (1/2 C*V^2)</t>
    </r>
  </si>
  <si>
    <r>
      <t xml:space="preserve">Energy stored in the </t>
    </r>
    <r>
      <rPr>
        <u/>
        <sz val="11"/>
        <color theme="1"/>
        <rFont val="Calibri"/>
        <family val="2"/>
        <scheme val="minor"/>
      </rPr>
      <t>effective</t>
    </r>
    <r>
      <rPr>
        <sz val="11"/>
        <color theme="1"/>
        <rFont val="Calibri"/>
        <family val="2"/>
        <scheme val="minor"/>
      </rPr>
      <t xml:space="preserve"> output capacitor after a discharge cycle </t>
    </r>
  </si>
  <si>
    <r>
      <t xml:space="preserve">Peak output voltage on the </t>
    </r>
    <r>
      <rPr>
        <u/>
        <sz val="11"/>
        <color theme="1"/>
        <rFont val="Calibri"/>
        <family val="2"/>
        <scheme val="minor"/>
      </rPr>
      <t>effective</t>
    </r>
    <r>
      <rPr>
        <sz val="11"/>
        <color theme="1"/>
        <rFont val="Calibri"/>
        <family val="2"/>
        <scheme val="minor"/>
      </rPr>
      <t xml:space="preserve"> capacitor.  This occurs at the end of the discharge phase</t>
    </r>
  </si>
  <si>
    <t>Hz</t>
  </si>
  <si>
    <t>N/A</t>
  </si>
  <si>
    <t>v.droop.wait.sbb2</t>
  </si>
  <si>
    <t>v.droop.wait.sbb1</t>
  </si>
  <si>
    <t>v.droop.wait.sbb0</t>
  </si>
  <si>
    <t>v.droop.wait.sbb2+sbb1</t>
  </si>
  <si>
    <t>v.droop.wait.sbb2.sbb0</t>
  </si>
  <si>
    <t>Voltage by which the specified channel will droop if it has to wait for SBB2 to be serviced</t>
  </si>
  <si>
    <t>Voltage by which the specified channel will droop if it has to wait for SBB1 to be serviced</t>
  </si>
  <si>
    <t>Voltage by which the specified channel will droop if it has to wait for SBB0 to be serviced</t>
  </si>
  <si>
    <t>Voltage by which the specified channel will droop if it has to wait for SBB2 and SBB0 to be serviced</t>
  </si>
  <si>
    <t>Voltage by which the specified channel will droop if it has to wait for SBB1 and SBB0 to be serviced</t>
  </si>
  <si>
    <t>Voltage by which the specified channel will droop if it has to wait for SBB2 and SBB1 to be serviced</t>
  </si>
  <si>
    <t>%</t>
  </si>
  <si>
    <t>i_peak</t>
  </si>
  <si>
    <t>last_column</t>
  </si>
  <si>
    <t>v_in</t>
  </si>
  <si>
    <t>r_L_dcr</t>
  </si>
  <si>
    <t>c_out_effective</t>
  </si>
  <si>
    <t>v_out</t>
  </si>
  <si>
    <t>i_out</t>
  </si>
  <si>
    <t>t_error_comp</t>
  </si>
  <si>
    <t>r_m2</t>
  </si>
  <si>
    <t>r_m3</t>
  </si>
  <si>
    <t>e_L_peak</t>
  </si>
  <si>
    <t>r_dis</t>
  </si>
  <si>
    <t>Resistance in the discharge path</t>
  </si>
  <si>
    <t>Energy Stored in the inductor when the current is at its peak value</t>
  </si>
  <si>
    <t>i_dis_rms</t>
  </si>
  <si>
    <t>t_chg</t>
  </si>
  <si>
    <t>t_dis</t>
  </si>
  <si>
    <t>t_undershoot</t>
  </si>
  <si>
    <t>v_undershoot</t>
  </si>
  <si>
    <t>e_dis</t>
  </si>
  <si>
    <t>e_load_dis</t>
  </si>
  <si>
    <t>e_delivered</t>
  </si>
  <si>
    <t>v_c_out_peak_actual</t>
  </si>
  <si>
    <t>v_c_out_ripple_actual</t>
  </si>
  <si>
    <t>f_out</t>
  </si>
  <si>
    <t>f_L_total</t>
  </si>
  <si>
    <t>e_c_out_actual</t>
  </si>
  <si>
    <t>e_c_out_peak_actual</t>
  </si>
  <si>
    <t>The time that the output voltage decays after the error comparator has tripped and the inductor has charged up.</t>
  </si>
  <si>
    <t>The output voltage undershoot during t_undershoot</t>
  </si>
  <si>
    <t>Nominal output voltage (v_out)</t>
  </si>
  <si>
    <r>
      <t xml:space="preserve">The output voltage undershoot that occurs on the specified channel when it only has to </t>
    </r>
    <r>
      <rPr>
        <u/>
        <sz val="11"/>
        <color theme="1"/>
        <rFont val="Calibri"/>
        <family val="2"/>
        <scheme val="minor"/>
      </rPr>
      <t>wait for itself</t>
    </r>
    <r>
      <rPr>
        <sz val="11"/>
        <color theme="1"/>
        <rFont val="Calibri"/>
        <family val="2"/>
        <scheme val="minor"/>
      </rPr>
      <t xml:space="preserve"> (v_undershoot)</t>
    </r>
  </si>
  <si>
    <r>
      <t xml:space="preserve">The output voltage undershoot that occurs on the specified channel when has to </t>
    </r>
    <r>
      <rPr>
        <u/>
        <sz val="11"/>
        <color theme="1"/>
        <rFont val="Calibri"/>
        <family val="2"/>
        <scheme val="minor"/>
      </rPr>
      <t>wait for itself and the slowest other channel</t>
    </r>
  </si>
  <si>
    <r>
      <t xml:space="preserve">The output voltage undershoot that occurs on the specified channel when has to </t>
    </r>
    <r>
      <rPr>
        <u/>
        <sz val="11"/>
        <color theme="1"/>
        <rFont val="Calibri"/>
        <family val="2"/>
        <scheme val="minor"/>
      </rPr>
      <t>wait for itself and the fastest other channel</t>
    </r>
  </si>
  <si>
    <r>
      <t xml:space="preserve">The output voltage undershoot that occurs on the specified channel when has to </t>
    </r>
    <r>
      <rPr>
        <u/>
        <sz val="11"/>
        <color theme="1"/>
        <rFont val="Calibri"/>
        <family val="2"/>
        <scheme val="minor"/>
      </rPr>
      <t>wait for itself and both the other channels</t>
    </r>
  </si>
  <si>
    <t>Peak to peak output voltage difference</t>
  </si>
  <si>
    <t>V/V * 100</t>
  </si>
  <si>
    <t>Output Votlage Ripple Magnitude</t>
  </si>
  <si>
    <t>Output Votlage Ripple Frequency</t>
  </si>
  <si>
    <t>Energy Transfer</t>
  </si>
  <si>
    <t>Timing</t>
  </si>
  <si>
    <t>Given Device Characteristics</t>
  </si>
  <si>
    <t>Miscellaneous Calculations</t>
  </si>
  <si>
    <t>r_m1</t>
  </si>
  <si>
    <t>r_c_in</t>
  </si>
  <si>
    <t>r_c_out</t>
  </si>
  <si>
    <t>r_m4</t>
  </si>
  <si>
    <t>r_chg</t>
  </si>
  <si>
    <t>resistance in the charge path</t>
  </si>
  <si>
    <t>f_max</t>
  </si>
  <si>
    <t>Maximum possible frequency when the regulator is fully loaded</t>
  </si>
  <si>
    <t>t_service</t>
  </si>
  <si>
    <t>Time required to service the respective channel</t>
  </si>
  <si>
    <t>W</t>
  </si>
  <si>
    <t>e_c_out_delivered</t>
  </si>
  <si>
    <t>Energy delivered to the output each cycle</t>
  </si>
  <si>
    <t>Energy delivered to the output capacitor each cycled</t>
  </si>
  <si>
    <t>Maximum output power per channel.  This assumed that the load on all other channels is 0.</t>
  </si>
  <si>
    <t>duty_cycle</t>
  </si>
  <si>
    <t>p_out_max</t>
  </si>
  <si>
    <t>i_out_max</t>
  </si>
  <si>
    <t>capacity_utilized_total</t>
  </si>
  <si>
    <t>v_overshoot</t>
  </si>
  <si>
    <t>v_undershoot_self</t>
  </si>
  <si>
    <t>v_undershoot_slow1</t>
  </si>
  <si>
    <t>v_undershoot_fast1</t>
  </si>
  <si>
    <t>v_undershoot_both</t>
  </si>
  <si>
    <t>v_out_max</t>
  </si>
  <si>
    <t>v_out_min</t>
  </si>
  <si>
    <t>v_out_delta</t>
  </si>
  <si>
    <t>v_out_percent_ripple</t>
  </si>
  <si>
    <t>v_out_case</t>
  </si>
  <si>
    <t>Enter -2.5%, 0, +2.5% to evaluate low/min/high voltages.  Values for each channel should be the same.</t>
  </si>
  <si>
    <t>The supply voltage to the device.  Valid supply voltages are from 2.7V to 5.5V.  Values for each channel should be the same.</t>
  </si>
  <si>
    <t>Inductor's DCR.  Values for each channel should be the same.</t>
  </si>
  <si>
    <t>v_out_nominal</t>
  </si>
  <si>
    <t>Nominal output voltage.  Output voltages are programmable from 0.8V to 5.55V</t>
  </si>
  <si>
    <t>Output Voltage.</t>
  </si>
  <si>
    <r>
      <t xml:space="preserve">Output voltage ripple per switching cycle </t>
    </r>
    <r>
      <rPr>
        <u/>
        <sz val="11"/>
        <color theme="1"/>
        <rFont val="Calibri"/>
        <family val="2"/>
        <scheme val="minor"/>
      </rPr>
      <t>with no load</t>
    </r>
  </si>
  <si>
    <r>
      <t xml:space="preserve">Output voltage ripple per switching cycle </t>
    </r>
    <r>
      <rPr>
        <u/>
        <sz val="11"/>
        <color theme="1"/>
        <rFont val="Calibri"/>
        <family val="2"/>
        <scheme val="minor"/>
      </rPr>
      <t>when loaded with i_out</t>
    </r>
  </si>
  <si>
    <t>v_c_out_ripple_no_load</t>
  </si>
  <si>
    <t>Peak output voltage ripple with no load.</t>
  </si>
  <si>
    <t>Output Power/Energy and Utilization</t>
  </si>
  <si>
    <t>The percentage of the inductor's time that is occupied by the respective channel with specified i_out</t>
  </si>
  <si>
    <t>SIMO's M1 Resistance (High-Side Input Switch)</t>
  </si>
  <si>
    <t>SIMO's M2 Resistance (Low-Side Input Switch)</t>
  </si>
  <si>
    <t>SIMO's M3 Resitance (High-Side Output Switch)</t>
  </si>
  <si>
    <t>SIMO's M4 Resistance (Low-Side Output Switch)</t>
  </si>
  <si>
    <t>Input capacitor ESR (5mOhms typ) plus Input loop PCB resistance (5mOhm typ).  Values for each channel should be the same.</t>
  </si>
  <si>
    <t>Output capacitor ESR (5mOhm typ) plus output loop PCB resistance (5mOhm typ).</t>
  </si>
  <si>
    <t>Inductor's Inductance.  Typical values range from 1, 1.2, 1.5, 2.2uH.  Values for each channel should be the same.  Smaller inductances reduce output voltage ripple which generally reduces the output capacitance needed.  Larger inductances give better efficiency.</t>
  </si>
  <si>
    <t>dV_dtss</t>
  </si>
  <si>
    <t>mV/us</t>
  </si>
  <si>
    <t>V/s</t>
  </si>
  <si>
    <t>Soft-Start Ramp Rate</t>
  </si>
  <si>
    <t>Soft-Start Ramp Rate.  This line is a simple unit conversion from the previous line.</t>
  </si>
  <si>
    <t>tss</t>
  </si>
  <si>
    <t>Soft Start Time</t>
  </si>
  <si>
    <t>dV_dtss_mV-us</t>
  </si>
  <si>
    <t>i_c_out_tss</t>
  </si>
  <si>
    <t>Soft-Start and Maximum Output Capacitor</t>
  </si>
  <si>
    <t>efficiency</t>
  </si>
  <si>
    <t>W/W</t>
  </si>
  <si>
    <t>estimated</t>
  </si>
  <si>
    <t>Estimated efficiency.  This parameter is used to calculate (i_in_tss) which is generally considered secondary design characteristic so 80% is a good basic number to use and nothing to heavily scrutinize.  This value is also used to calculate i_in_individual and i_in_total -- if you want more precision for these numbers, consult the datasheet efficiency curves and update the values shown here.</t>
  </si>
  <si>
    <t>i_in_total</t>
  </si>
  <si>
    <t xml:space="preserve">Current required from the input for the specified channel during steady-state operation. </t>
  </si>
  <si>
    <t>Current required from the input for all channels during steady-state operation.</t>
  </si>
  <si>
    <t>Column1</t>
  </si>
  <si>
    <t>Column2</t>
  </si>
  <si>
    <t>Column3</t>
  </si>
  <si>
    <t>i_chgin_def</t>
  </si>
  <si>
    <t>Current into the output cap (c_out_effective) during soft-start.</t>
  </si>
  <si>
    <t>i_in_tss_1</t>
  </si>
  <si>
    <t>i_in_tss_2</t>
  </si>
  <si>
    <t>This equation is identical to that of i_in_tss_1 except that it forced the input voltage to 4.5V.  This is a useful number cacause it will tell you the input current from the adapter if starting up from the adapter with no battery available.</t>
  </si>
  <si>
    <t>Current required from the input during soft-start.  This equation uses the specified input voltage (v_in) and gives the current required to charge the output capacitor (c_out_effective) only.  In otherwords, it doesn't include the current to power the specified load (i_out).  Note that the output current (i_out) can be assumed to be zero because the reset output of the PMIC is low at this time and it is typical for systems to draw near zero currents when they are held in reset).
efficiency = p_out/p_in
efficiency = (v_out*i_out)/(v_in*i_in)
i_in = (v_out*i_out)/(v_in*efficiency)</t>
  </si>
  <si>
    <t>i_in_steady_state</t>
  </si>
  <si>
    <t>Effective maximum output capacitance based on soft-start slew rate.  This value is based on the current required to slew the effective output capacitance at the specified soft-start ramp rate and assumes that the load current is zero during startup (note the RST line is low).  In order to soft-start with the nominal rate 5mV/us the effective output capacitance must be below c_out_max.  If this capacitance value is exceeded, then the soft-start ramp rate will be slower than specified.  It is recommended to not exceed this value, but it is a soft recommendation.</t>
  </si>
  <si>
    <t>c_out_max_tss</t>
  </si>
  <si>
    <t>c_out_max_i_chgin</t>
  </si>
  <si>
    <t>Actual Effective Output Capacitance.  A capacitor's effective capacitance decreases with increased DC bias voltage.  10uF 0402 case size nominal capacitors work well in typical applications but they generally have 8uF with 1V bias, 5uF with 1.8V bias, and 3uF with 3.3V bias.  Increase the output capacitance to decrease ripple.  Two maximum output capacitance calculations are below (c_out_max_tss and c_out_max_i_chgin); if the value listed here is larger than any of these maximum values the cell will highlight itself red and further investigation is required.</t>
  </si>
  <si>
    <t>Effective maximum output capacitance based on not overloading the charger inputs default current limit.  This value is only important if your system needs to startup without a battery from the charger input. If the output capacitance is larger than this value, the SYS node will droop during startup from a charger without a battery.  A little SYS droop is okay but is this capacitance is too large then the SYS voltage will drop below UVLO and the device will turn off.
efficiency = p_out/p_in
efficiency = (v_out*i_out)/(v_in*i_in)
*** i_in in this case is i_chgin_def
*** i_out in this case is i_cout_tss which is c_out_effective/dv_dtss
efficiency = (v_out*c_out_effective/dv_dtss)/(v_in* i_chgin_def)
*** solve for c_out_effective
efficiency * (v_in* i_chgin_def) = (v_out*c_out_effective/dv_dtss)
efficiency * (v_in* i_chgin_def) = (v_out*c_out_effective/dv_dtss)
c_out_effective/dv_dtss = (efficiency * v_in* i_chgin_def)/v_out
c_out_effective = [(efficiency * v_in* i_chgin_def)/v_out] * dv_dtss
*** for the case of the starting into the charger, v_in will always be 4.5V</t>
  </si>
  <si>
    <t>Total cycles as seen by the inductor for the specified i_out values.  When choosing an inductor make sure that the AC-resistance is low at this frequency.  It difficult and rare but possible to get the switching frequency as high as 6MHz.  These high frequency configurations should be avoided as they exhibit poor efficiency.  Ideally the switching frequency should be in the 2MHz region.  This cell will highlight itself red if the switching frequency is more than 2.5MHz.  In this case, please consider using higher inductance values and higher input current limit values to bring the switching frequency down.</t>
  </si>
  <si>
    <t>vout_load_reg</t>
  </si>
  <si>
    <t>vout_crosstalk</t>
  </si>
  <si>
    <t>vout_max</t>
  </si>
  <si>
    <t>vout_min</t>
  </si>
  <si>
    <t>vout_max_accuracy</t>
  </si>
  <si>
    <t>v.droop.wait.sbb1.sbb0</t>
  </si>
  <si>
    <t>utilization</t>
  </si>
  <si>
    <t>total utilization</t>
  </si>
  <si>
    <t>max_iout</t>
  </si>
  <si>
    <t>ripple frequency</t>
  </si>
  <si>
    <t>inductor frequency</t>
  </si>
  <si>
    <t>Vin</t>
  </si>
  <si>
    <t>Summary</t>
  </si>
  <si>
    <t>vout_ripple_no_load</t>
  </si>
  <si>
    <t>vout_ripple_load</t>
  </si>
  <si>
    <t>The default charger input current limit.  This is either 95mA or 475mA depending on the OTP settings of your device.</t>
  </si>
  <si>
    <t>Output Voltage droop below target due to load regulation</t>
  </si>
  <si>
    <t>The capacity utilized by the SIMO.  This number should be kept at or below 80%.  This cell will color itself red if the value is more than 80%.  To reduce the utilization, increase the peak current limit (i_peak) and/or reduce the load (i_load) and/or increase the minimum input voltage.</t>
  </si>
  <si>
    <t>Enter the Maximum Output Current Value.  Some people get confused and think that this should be the average or RMS output current which is not true -- any currents that persist for longer than 10us should be considered that that maximum value should be entered here.  If a regulator is disabled, please set this value to 0.</t>
  </si>
  <si>
    <t>t_period</t>
  </si>
  <si>
    <t>t_idle</t>
  </si>
  <si>
    <t>The period at which each individual output is serviced to sustain I.OUT.  This is the period of the output voltage ripple.</t>
  </si>
  <si>
    <t>The portion of time that each individual output is not being serviced (i.e. idle) during the period (t_period)</t>
  </si>
  <si>
    <t>Error Comparator Response Time.  Typically 850ns</t>
  </si>
  <si>
    <t>t_dis_first_order</t>
  </si>
  <si>
    <t>t_chg_first</t>
  </si>
  <si>
    <t>Second order charge time calculation including the loop resistance.  If the charge time is greater than 2.5us then this cell will highlight red indicating that you may be encroaching on the "Maximum Inductor Energizing Time."  If this happens then lower your inductance; recommended inductance values are from 1.0 to 2.2uH.</t>
  </si>
  <si>
    <t>First order charge time calculation assuming that the loop resistance is 0 (t = L/v_in*i_peak).  This time is not used in any further calculations.  It is just provided as a point of contrast to the secord order charge time calculation (t_chg).</t>
  </si>
  <si>
    <t>First order discharge time calculation assuming that the loop resistance is 0 (t=L/v_out*i_peak).  This time is not used in any further calculations -- it is just provided as a point of contrast to the second order discharge time calculation (t_dis).</t>
  </si>
  <si>
    <t>Second order discharge time clacluation including the loop resistance.  If the discharge time is greater than 2.5us then this cell will highlight red indicating that you may be encroaching on the "Maximum Discharge Time with Synchronous Rectifier."  If this happens then lower your inductance and/or lower your peak current limit.  The recommended inductance values are from 1.0 to 2.2uH.</t>
  </si>
  <si>
    <t>Maximum output current per channel for a typical device.  This assumed that the load on all other channels is 0.  Note that a production design should keep the total utilization number to less than 80%.</t>
  </si>
  <si>
    <t>r_load</t>
  </si>
  <si>
    <t>OUT1
Values
MIN</t>
  </si>
  <si>
    <t>OUT1
Values
TYP</t>
  </si>
  <si>
    <t>OUT1
Values
MAX</t>
  </si>
  <si>
    <t>OUT2
Values
MIN</t>
  </si>
  <si>
    <t>OUT2
Values
TYP</t>
  </si>
  <si>
    <t>OUT2
Values
MAX</t>
  </si>
  <si>
    <t>OUT3
Values
MIN</t>
  </si>
  <si>
    <t>OUT3
Values
TYP</t>
  </si>
  <si>
    <t>OUT3
Values
MAX</t>
  </si>
  <si>
    <t>Peak Current.  The programmable values are 0.4, 0.6, 0.8, 1.1A.  Note that this is not the output current of the converter.  The output current will be entered below as "i_out."</t>
  </si>
  <si>
    <t>Frequency at which each individual output is serviced to sustain I.OUT.  This is the frequency of the output voltage ripple. (Normal Power Mode only)</t>
  </si>
  <si>
    <t>Maximum output voltage (Normal Power Mode only)</t>
  </si>
  <si>
    <t>Minimum output voltage (Normal Power Mode only)</t>
  </si>
  <si>
    <t>% ripple.  The PMIC itself is okay with relatively large amounts of ripple (i.e. 10% is okay).  But the industry has a general expectation that the output voltage ripple will be small.  This cell highlights itself it the ripple is more than 2%.  To reduce the ripple, increase the output capacitor (c_out_effective) and/or decrease the peak current limit (i_peak). (Normal Power Mode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</si>
</sst>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E+0"/>
    <numFmt numFmtId="166" formatCode="0.0%"/>
  </numFmts>
  <fonts count="12" x14ac:knownFonts="1">
    <font>
      <sz val="11"/>
      <color theme="1"/>
      <name val="Calibri"/>
      <family val="2"/>
      <scheme val="minor"/>
    </font>
    <font>
      <b/>
      <sz val="11"/>
      <color theme="1"/>
      <name val="Calibri"/>
      <family val="2"/>
      <scheme val="minor"/>
    </font>
    <font>
      <sz val="11"/>
      <color theme="1"/>
      <name val="Calibri"/>
      <family val="2"/>
    </font>
    <font>
      <u/>
      <sz val="11"/>
      <color theme="1"/>
      <name val="Calibri"/>
      <family val="2"/>
      <scheme val="minor"/>
    </font>
    <font>
      <b/>
      <sz val="11"/>
      <color theme="0"/>
      <name val="Calibri"/>
      <family val="2"/>
      <scheme val="minor"/>
    </font>
    <font>
      <sz val="12"/>
      <color theme="1"/>
      <name val="Calibri"/>
      <family val="2"/>
      <scheme val="minor"/>
    </font>
    <font>
      <i/>
      <sz val="11"/>
      <color theme="1"/>
      <name val="Calibri"/>
      <family val="2"/>
      <scheme val="minor"/>
    </font>
    <font>
      <sz val="11"/>
      <name val="Calibri"/>
      <family val="2"/>
      <scheme val="minor"/>
    </font>
    <font>
      <sz val="11"/>
      <color theme="0" tint="-0.34998626667073579"/>
      <name val="Calibri"/>
      <family val="2"/>
      <scheme val="minor"/>
    </font>
    <font>
      <b/>
      <sz val="11"/>
      <name val="Calibri"/>
      <family val="2"/>
      <scheme val="minor"/>
    </font>
    <font>
      <sz val="12"/>
      <name val="Calibri"/>
      <family val="2"/>
      <scheme val="minor"/>
    </font>
    <font>
      <i/>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249977111117893"/>
        <bgColor indexed="64"/>
      </patternFill>
    </fill>
    <fill>
      <patternFill patternType="solid">
        <fgColor theme="1"/>
        <bgColor indexed="64"/>
      </patternFill>
    </fill>
    <fill>
      <patternFill patternType="solid">
        <fgColor rgb="FFFFC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s>
  <cellStyleXfs count="1">
    <xf numFmtId="0" fontId="0" fillId="0" borderId="0"/>
  </cellStyleXfs>
  <cellXfs count="116">
    <xf numFmtId="0" fontId="0" fillId="0" borderId="0" xfId="0"/>
    <xf numFmtId="0" fontId="0" fillId="0" borderId="1" xfId="0" applyBorder="1" applyAlignment="1" applyProtection="1">
      <alignment horizontal="center" vertical="center"/>
      <protection locked="0"/>
    </xf>
    <xf numFmtId="48" fontId="0" fillId="0" borderId="1" xfId="0" applyNumberFormat="1" applyBorder="1" applyAlignment="1" applyProtection="1">
      <alignment horizontal="center" vertical="center"/>
      <protection locked="0"/>
    </xf>
    <xf numFmtId="0" fontId="7" fillId="0" borderId="1" xfId="0" applyNumberFormat="1" applyFont="1" applyBorder="1" applyAlignment="1" applyProtection="1">
      <alignment horizontal="center" vertical="center"/>
      <protection locked="0"/>
    </xf>
    <xf numFmtId="0" fontId="7" fillId="0" borderId="1" xfId="0" quotePrefix="1" applyNumberFormat="1" applyFont="1" applyBorder="1" applyAlignment="1" applyProtection="1">
      <alignment horizontal="center" vertical="center"/>
      <protection locked="0"/>
    </xf>
    <xf numFmtId="0" fontId="0" fillId="0" borderId="1" xfId="0" applyNumberFormat="1" applyBorder="1" applyAlignment="1" applyProtection="1">
      <alignment horizontal="center" vertical="center"/>
      <protection locked="0"/>
    </xf>
    <xf numFmtId="0" fontId="1" fillId="0" borderId="4" xfId="0" applyFont="1" applyBorder="1" applyProtection="1"/>
    <xf numFmtId="0" fontId="1" fillId="0" borderId="5" xfId="0" applyFont="1" applyBorder="1" applyAlignment="1" applyProtection="1">
      <alignment horizontal="center"/>
    </xf>
    <xf numFmtId="0" fontId="9" fillId="4" borderId="5" xfId="0" applyFont="1" applyFill="1" applyBorder="1" applyAlignment="1" applyProtection="1">
      <alignment horizontal="center"/>
    </xf>
    <xf numFmtId="0" fontId="1" fillId="0" borderId="5" xfId="0" applyFont="1" applyBorder="1" applyAlignment="1" applyProtection="1">
      <alignment horizontal="center" wrapText="1"/>
    </xf>
    <xf numFmtId="0" fontId="9" fillId="4" borderId="5" xfId="0" applyFont="1" applyFill="1" applyBorder="1" applyAlignment="1" applyProtection="1">
      <alignment horizontal="center" wrapText="1"/>
    </xf>
    <xf numFmtId="0" fontId="1" fillId="0" borderId="6" xfId="0" applyFont="1" applyBorder="1" applyAlignment="1" applyProtection="1">
      <alignment horizontal="left" wrapText="1"/>
    </xf>
    <xf numFmtId="0" fontId="0" fillId="0" borderId="0" xfId="0" applyProtection="1"/>
    <xf numFmtId="0" fontId="0" fillId="0" borderId="2" xfId="0" applyBorder="1" applyAlignment="1" applyProtection="1">
      <alignment vertical="center"/>
    </xf>
    <xf numFmtId="0" fontId="0" fillId="0" borderId="1" xfId="0" applyBorder="1" applyAlignment="1" applyProtection="1">
      <alignment horizontal="center" vertical="center"/>
    </xf>
    <xf numFmtId="0" fontId="7" fillId="4" borderId="1" xfId="0"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0" fillId="0" borderId="3" xfId="0" applyBorder="1" applyAlignment="1" applyProtection="1">
      <alignment horizontal="left" vertical="top" wrapText="1"/>
    </xf>
    <xf numFmtId="48" fontId="0" fillId="0" borderId="1" xfId="0" applyNumberFormat="1" applyBorder="1" applyAlignment="1" applyProtection="1">
      <alignment horizontal="center" vertical="center"/>
    </xf>
    <xf numFmtId="48" fontId="8" fillId="0" borderId="1" xfId="0" applyNumberFormat="1" applyFont="1" applyBorder="1" applyAlignment="1" applyProtection="1">
      <alignment horizontal="center" vertical="center"/>
    </xf>
    <xf numFmtId="11" fontId="7" fillId="4" borderId="1" xfId="0" applyNumberFormat="1" applyFont="1" applyFill="1" applyBorder="1" applyAlignment="1" applyProtection="1">
      <alignment horizontal="center" vertical="center"/>
    </xf>
    <xf numFmtId="0" fontId="0" fillId="0" borderId="3" xfId="0" applyFill="1" applyBorder="1" applyAlignment="1" applyProtection="1">
      <alignment horizontal="left" vertical="top" wrapText="1"/>
    </xf>
    <xf numFmtId="48" fontId="7" fillId="4" borderId="1" xfId="0" applyNumberFormat="1"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0" fillId="5" borderId="2" xfId="0" applyFill="1" applyBorder="1" applyAlignment="1" applyProtection="1">
      <alignment vertical="center"/>
    </xf>
    <xf numFmtId="0" fontId="0" fillId="0" borderId="1" xfId="0" applyFill="1" applyBorder="1" applyAlignment="1" applyProtection="1">
      <alignment horizontal="center" vertical="center"/>
    </xf>
    <xf numFmtId="11" fontId="0" fillId="0" borderId="0" xfId="0" applyNumberFormat="1" applyProtection="1"/>
    <xf numFmtId="48" fontId="0" fillId="0" borderId="0" xfId="0" applyNumberFormat="1" applyProtection="1"/>
    <xf numFmtId="0" fontId="7" fillId="4" borderId="1" xfId="0" applyNumberFormat="1" applyFont="1" applyFill="1" applyBorder="1" applyAlignment="1" applyProtection="1">
      <alignment horizontal="center" vertical="center"/>
    </xf>
    <xf numFmtId="0" fontId="8" fillId="0" borderId="1" xfId="0" applyNumberFormat="1" applyFont="1" applyBorder="1" applyAlignment="1" applyProtection="1">
      <alignment horizontal="center" vertical="center"/>
    </xf>
    <xf numFmtId="0" fontId="7" fillId="4" borderId="6" xfId="0" applyFont="1" applyFill="1" applyBorder="1" applyAlignment="1" applyProtection="1">
      <alignment horizontal="center" vertical="center"/>
    </xf>
    <xf numFmtId="0" fontId="0" fillId="0" borderId="6" xfId="0" applyBorder="1" applyAlignment="1" applyProtection="1">
      <alignment horizontal="center" vertical="center"/>
    </xf>
    <xf numFmtId="0" fontId="0" fillId="0" borderId="3" xfId="0" applyBorder="1" applyAlignment="1" applyProtection="1">
      <alignment vertical="center" wrapText="1"/>
    </xf>
    <xf numFmtId="0" fontId="4" fillId="3" borderId="6"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xf>
    <xf numFmtId="0" fontId="9" fillId="4" borderId="6" xfId="0" applyFont="1" applyFill="1" applyBorder="1" applyAlignment="1" applyProtection="1">
      <alignment horizontal="left" vertical="center"/>
    </xf>
    <xf numFmtId="0" fontId="9" fillId="4" borderId="6" xfId="0" applyFont="1" applyFill="1" applyBorder="1" applyAlignment="1" applyProtection="1">
      <alignment horizontal="left" vertical="center" wrapText="1"/>
    </xf>
    <xf numFmtId="0" fontId="0" fillId="0" borderId="0" xfId="0" applyAlignment="1" applyProtection="1">
      <alignment horizontal="center"/>
    </xf>
    <xf numFmtId="0" fontId="7" fillId="4" borderId="2" xfId="0" applyFont="1" applyFill="1" applyBorder="1" applyAlignment="1" applyProtection="1">
      <alignment horizontal="center" vertical="center"/>
    </xf>
    <xf numFmtId="0" fontId="0" fillId="0" borderId="0" xfId="0" applyAlignment="1" applyProtection="1">
      <alignment wrapText="1"/>
    </xf>
    <xf numFmtId="11" fontId="0" fillId="0" borderId="0" xfId="0" applyNumberFormat="1" applyAlignment="1" applyProtection="1">
      <alignment horizontal="center"/>
    </xf>
    <xf numFmtId="0" fontId="7" fillId="4" borderId="7" xfId="0" applyFont="1" applyFill="1" applyBorder="1" applyAlignment="1" applyProtection="1">
      <alignment horizontal="center" vertical="center"/>
    </xf>
    <xf numFmtId="48" fontId="0" fillId="0" borderId="0" xfId="0" applyNumberFormat="1" applyAlignment="1" applyProtection="1">
      <alignment horizontal="center"/>
    </xf>
    <xf numFmtId="0" fontId="0" fillId="0" borderId="1" xfId="0" applyBorder="1" applyAlignment="1" applyProtection="1">
      <alignment horizontal="center"/>
    </xf>
    <xf numFmtId="166" fontId="0" fillId="0" borderId="1" xfId="0" applyNumberFormat="1" applyBorder="1" applyAlignment="1" applyProtection="1">
      <alignment horizontal="center"/>
    </xf>
    <xf numFmtId="166" fontId="0" fillId="0" borderId="1" xfId="0" applyNumberFormat="1" applyBorder="1" applyAlignment="1" applyProtection="1">
      <alignment horizontal="left"/>
    </xf>
    <xf numFmtId="166" fontId="0" fillId="0" borderId="1" xfId="0" applyNumberFormat="1" applyBorder="1" applyAlignment="1" applyProtection="1">
      <alignment horizontal="center" vertical="center"/>
    </xf>
    <xf numFmtId="48" fontId="0" fillId="0" borderId="1" xfId="0" applyNumberFormat="1" applyBorder="1" applyAlignment="1" applyProtection="1">
      <alignment horizontal="center"/>
    </xf>
    <xf numFmtId="165" fontId="0" fillId="0" borderId="1" xfId="0" applyNumberFormat="1" applyBorder="1" applyAlignment="1" applyProtection="1">
      <alignment horizontal="center"/>
    </xf>
    <xf numFmtId="165" fontId="0" fillId="0" borderId="1" xfId="0" applyNumberFormat="1" applyBorder="1" applyAlignment="1" applyProtection="1">
      <alignment horizontal="center" vertical="center"/>
    </xf>
    <xf numFmtId="0" fontId="0" fillId="0" borderId="11" xfId="0" applyBorder="1" applyAlignment="1" applyProtection="1">
      <alignment vertical="center" wrapText="1"/>
    </xf>
    <xf numFmtId="165" fontId="0" fillId="0" borderId="1" xfId="0" applyNumberFormat="1" applyFill="1" applyBorder="1" applyAlignment="1" applyProtection="1">
      <alignment horizontal="center"/>
    </xf>
    <xf numFmtId="165" fontId="0" fillId="0" borderId="1" xfId="0" applyNumberFormat="1" applyFill="1" applyBorder="1" applyAlignment="1" applyProtection="1">
      <alignment horizontal="left"/>
    </xf>
    <xf numFmtId="164" fontId="0" fillId="2" borderId="1" xfId="0" applyNumberFormat="1" applyFont="1" applyFill="1" applyBorder="1" applyAlignment="1" applyProtection="1">
      <alignment horizontal="center" vertical="center"/>
    </xf>
    <xf numFmtId="0" fontId="4" fillId="5" borderId="6" xfId="0" applyFont="1" applyFill="1" applyBorder="1" applyAlignment="1" applyProtection="1">
      <alignment horizontal="left" vertical="center" wrapText="1"/>
    </xf>
    <xf numFmtId="48" fontId="0" fillId="0" borderId="1" xfId="0" applyNumberFormat="1" applyFont="1" applyBorder="1" applyAlignment="1" applyProtection="1">
      <alignment horizontal="center" vertical="center"/>
    </xf>
    <xf numFmtId="48" fontId="11" fillId="4" borderId="1" xfId="0" applyNumberFormat="1" applyFont="1" applyFill="1" applyBorder="1" applyAlignment="1" applyProtection="1">
      <alignment horizontal="center" vertical="center"/>
    </xf>
    <xf numFmtId="0" fontId="6" fillId="0" borderId="0" xfId="0" applyFont="1" applyProtection="1"/>
    <xf numFmtId="48" fontId="0" fillId="0" borderId="6" xfId="0" applyNumberFormat="1" applyFont="1" applyBorder="1" applyAlignment="1" applyProtection="1">
      <alignment horizontal="center" vertical="center"/>
    </xf>
    <xf numFmtId="48" fontId="7" fillId="4" borderId="6"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9" fontId="0" fillId="0" borderId="6" xfId="0" applyNumberFormat="1" applyFont="1" applyBorder="1" applyAlignment="1" applyProtection="1">
      <alignment horizontal="center" vertical="center"/>
    </xf>
    <xf numFmtId="9" fontId="7" fillId="4" borderId="6" xfId="0" applyNumberFormat="1" applyFont="1" applyFill="1" applyBorder="1" applyAlignment="1" applyProtection="1">
      <alignment horizontal="center" vertical="center"/>
    </xf>
    <xf numFmtId="48" fontId="7" fillId="4" borderId="10" xfId="0" applyNumberFormat="1" applyFont="1" applyFill="1" applyBorder="1" applyAlignment="1" applyProtection="1">
      <alignment horizontal="center" vertical="center"/>
    </xf>
    <xf numFmtId="165" fontId="0" fillId="0" borderId="8" xfId="0" applyNumberFormat="1" applyFont="1" applyBorder="1" applyAlignment="1" applyProtection="1">
      <alignment horizontal="center" vertical="center"/>
    </xf>
    <xf numFmtId="165" fontId="7" fillId="4" borderId="8" xfId="0" applyNumberFormat="1" applyFont="1" applyFill="1" applyBorder="1" applyAlignment="1" applyProtection="1">
      <alignment horizontal="center" vertical="center"/>
    </xf>
    <xf numFmtId="48" fontId="0" fillId="2" borderId="6" xfId="0" applyNumberFormat="1" applyFont="1" applyFill="1" applyBorder="1" applyAlignment="1" applyProtection="1">
      <alignment horizontal="center" vertical="center"/>
    </xf>
    <xf numFmtId="48" fontId="0" fillId="0" borderId="6" xfId="0" applyNumberFormat="1" applyBorder="1" applyAlignment="1" applyProtection="1">
      <alignment horizontal="center" vertical="center"/>
    </xf>
    <xf numFmtId="48" fontId="0" fillId="0" borderId="1" xfId="0" applyNumberFormat="1" applyFill="1" applyBorder="1" applyAlignment="1" applyProtection="1">
      <alignment horizontal="center" vertical="center"/>
    </xf>
    <xf numFmtId="164" fontId="0" fillId="0" borderId="1" xfId="0" applyNumberFormat="1" applyFill="1" applyBorder="1" applyAlignment="1" applyProtection="1">
      <alignment horizontal="center" vertical="center"/>
    </xf>
    <xf numFmtId="164" fontId="7" fillId="4" borderId="1" xfId="0" applyNumberFormat="1" applyFont="1" applyFill="1" applyBorder="1" applyAlignment="1" applyProtection="1">
      <alignment horizontal="center" vertical="center"/>
    </xf>
    <xf numFmtId="165" fontId="0" fillId="0" borderId="1" xfId="0" applyNumberFormat="1" applyFill="1" applyBorder="1" applyAlignment="1" applyProtection="1">
      <alignment horizontal="center" vertical="center"/>
    </xf>
    <xf numFmtId="165" fontId="7" fillId="4" borderId="1" xfId="0" applyNumberFormat="1" applyFont="1" applyFill="1" applyBorder="1" applyAlignment="1" applyProtection="1">
      <alignment horizontal="center" vertical="center"/>
    </xf>
    <xf numFmtId="0" fontId="0" fillId="0" borderId="3" xfId="0" applyFill="1" applyBorder="1" applyAlignment="1" applyProtection="1">
      <alignment vertical="center" wrapText="1"/>
    </xf>
    <xf numFmtId="165" fontId="0" fillId="2" borderId="1" xfId="0" applyNumberFormat="1" applyFill="1" applyBorder="1" applyAlignment="1" applyProtection="1">
      <alignment horizontal="center" vertical="center"/>
    </xf>
    <xf numFmtId="48" fontId="0" fillId="0" borderId="6" xfId="0" applyNumberFormat="1" applyFill="1" applyBorder="1" applyAlignment="1" applyProtection="1">
      <alignment horizontal="center" vertical="center"/>
    </xf>
    <xf numFmtId="0" fontId="0" fillId="0" borderId="7" xfId="0" applyFill="1" applyBorder="1" applyAlignment="1" applyProtection="1">
      <alignment vertical="center"/>
    </xf>
    <xf numFmtId="48" fontId="0" fillId="2" borderId="1" xfId="0" applyNumberFormat="1" applyFill="1" applyBorder="1" applyAlignment="1" applyProtection="1">
      <alignment horizontal="center" vertical="center"/>
    </xf>
    <xf numFmtId="2" fontId="7" fillId="4" borderId="6" xfId="0" applyNumberFormat="1" applyFont="1" applyFill="1" applyBorder="1" applyAlignment="1" applyProtection="1">
      <alignment horizontal="center" vertical="center"/>
    </xf>
    <xf numFmtId="0" fontId="0" fillId="0" borderId="2" xfId="0" applyFill="1" applyBorder="1" applyAlignment="1" applyProtection="1">
      <alignment vertical="center"/>
    </xf>
    <xf numFmtId="0" fontId="5" fillId="0" borderId="1" xfId="0" applyFont="1" applyFill="1" applyBorder="1" applyAlignment="1" applyProtection="1">
      <alignment horizontal="center" vertical="center"/>
    </xf>
    <xf numFmtId="0" fontId="10" fillId="4" borderId="10" xfId="0" applyFont="1" applyFill="1" applyBorder="1" applyAlignment="1" applyProtection="1">
      <alignment horizontal="center" vertical="center"/>
    </xf>
    <xf numFmtId="165" fontId="5" fillId="0" borderId="10" xfId="0" applyNumberFormat="1" applyFont="1" applyBorder="1" applyAlignment="1" applyProtection="1">
      <alignment horizontal="center" vertical="center"/>
    </xf>
    <xf numFmtId="165" fontId="10" fillId="4" borderId="10" xfId="0" applyNumberFormat="1" applyFont="1" applyFill="1" applyBorder="1" applyAlignment="1" applyProtection="1">
      <alignment horizontal="center" vertical="center"/>
    </xf>
    <xf numFmtId="48" fontId="7" fillId="4" borderId="8" xfId="0" applyNumberFormat="1" applyFont="1" applyFill="1"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left" vertical="top" wrapText="1"/>
    </xf>
    <xf numFmtId="0" fontId="0" fillId="5" borderId="7" xfId="0" applyFill="1" applyBorder="1" applyAlignment="1" applyProtection="1">
      <alignment vertical="center"/>
    </xf>
    <xf numFmtId="0" fontId="0" fillId="0" borderId="8" xfId="0" applyFill="1" applyBorder="1" applyAlignment="1" applyProtection="1">
      <alignment horizontal="center" vertical="center"/>
    </xf>
    <xf numFmtId="0" fontId="7" fillId="4" borderId="8" xfId="0" applyFont="1" applyFill="1" applyBorder="1" applyAlignment="1" applyProtection="1">
      <alignment horizontal="center" vertical="center"/>
    </xf>
    <xf numFmtId="165" fontId="0" fillId="0" borderId="2" xfId="0" applyNumberFormat="1" applyBorder="1" applyAlignment="1" applyProtection="1">
      <alignment horizontal="center" vertical="center"/>
    </xf>
    <xf numFmtId="165" fontId="7" fillId="4" borderId="2" xfId="0" applyNumberFormat="1" applyFont="1" applyFill="1" applyBorder="1" applyAlignment="1" applyProtection="1">
      <alignment horizontal="center" vertical="center"/>
    </xf>
    <xf numFmtId="164" fontId="0" fillId="0" borderId="2" xfId="0" applyNumberFormat="1" applyBorder="1" applyAlignment="1" applyProtection="1">
      <alignment horizontal="center" vertical="center"/>
    </xf>
    <xf numFmtId="164" fontId="7" fillId="4" borderId="2" xfId="0" applyNumberFormat="1" applyFont="1" applyFill="1" applyBorder="1" applyAlignment="1" applyProtection="1">
      <alignment horizontal="center" vertical="center"/>
    </xf>
    <xf numFmtId="164" fontId="0" fillId="2" borderId="2" xfId="0" applyNumberFormat="1" applyFill="1" applyBorder="1" applyAlignment="1" applyProtection="1">
      <alignment horizontal="center" vertical="center"/>
    </xf>
    <xf numFmtId="2" fontId="0" fillId="0" borderId="2" xfId="0" applyNumberFormat="1" applyBorder="1" applyAlignment="1" applyProtection="1">
      <alignment horizontal="center" vertical="center"/>
    </xf>
    <xf numFmtId="2" fontId="7" fillId="4" borderId="2" xfId="0" applyNumberFormat="1" applyFont="1" applyFill="1" applyBorder="1" applyAlignment="1" applyProtection="1">
      <alignment horizontal="center" vertical="center"/>
    </xf>
    <xf numFmtId="0" fontId="4" fillId="3" borderId="12" xfId="0" applyFont="1" applyFill="1" applyBorder="1" applyAlignment="1" applyProtection="1">
      <alignment horizontal="left" vertical="center" wrapText="1"/>
    </xf>
    <xf numFmtId="0" fontId="5" fillId="0" borderId="8" xfId="0" applyFont="1" applyFill="1" applyBorder="1" applyAlignment="1" applyProtection="1">
      <alignment horizontal="center" vertical="center"/>
    </xf>
    <xf numFmtId="0" fontId="0" fillId="5" borderId="4" xfId="0" applyFill="1" applyBorder="1" applyAlignment="1" applyProtection="1">
      <alignment vertical="center"/>
    </xf>
    <xf numFmtId="0" fontId="0" fillId="0" borderId="5" xfId="0" applyBorder="1" applyAlignment="1" applyProtection="1">
      <alignment horizontal="center" vertical="center"/>
    </xf>
    <xf numFmtId="0" fontId="7" fillId="4" borderId="5" xfId="0" applyFont="1" applyFill="1" applyBorder="1" applyAlignment="1" applyProtection="1">
      <alignment horizontal="center" vertical="center"/>
    </xf>
    <xf numFmtId="48" fontId="0" fillId="0" borderId="5" xfId="0" applyNumberFormat="1" applyBorder="1" applyAlignment="1" applyProtection="1">
      <alignment horizontal="center" vertical="center"/>
    </xf>
    <xf numFmtId="48" fontId="7" fillId="4" borderId="5" xfId="0" applyNumberFormat="1" applyFont="1" applyFill="1" applyBorder="1" applyAlignment="1" applyProtection="1">
      <alignment horizontal="center" vertical="center"/>
    </xf>
    <xf numFmtId="0" fontId="2" fillId="0" borderId="5" xfId="0" applyFont="1" applyBorder="1" applyAlignment="1" applyProtection="1">
      <alignment horizontal="center" vertical="center"/>
    </xf>
    <xf numFmtId="0" fontId="4" fillId="3" borderId="0"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xf>
    <xf numFmtId="0" fontId="0" fillId="0" borderId="1" xfId="0" applyFill="1" applyBorder="1" applyAlignment="1">
      <alignment horizontal="center" vertical="center"/>
    </xf>
    <xf numFmtId="0" fontId="0" fillId="0" borderId="3" xfId="0" applyFill="1" applyBorder="1" applyAlignment="1">
      <alignment vertical="center" wrapText="1"/>
    </xf>
    <xf numFmtId="0" fontId="7" fillId="0" borderId="2" xfId="0" applyFont="1" applyFill="1" applyBorder="1" applyAlignment="1" applyProtection="1">
      <alignment horizontal="center" vertical="center"/>
    </xf>
    <xf numFmtId="166" fontId="0" fillId="2" borderId="1" xfId="0" applyNumberFormat="1" applyFill="1" applyBorder="1" applyAlignment="1" applyProtection="1">
      <alignment horizontal="center" vertical="center"/>
    </xf>
    <xf numFmtId="166" fontId="0" fillId="2" borderId="6" xfId="0" applyNumberForma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13" xfId="0" applyBorder="1" applyAlignment="1" applyProtection="1">
      <alignment horizontal="center" vertical="center"/>
    </xf>
    <xf numFmtId="0" fontId="0" fillId="0" borderId="0" xfId="0" applyAlignment="1" applyProtection="1">
      <alignment horizontal="center" vertical="center"/>
    </xf>
  </cellXfs>
  <cellStyles count="1">
    <cellStyle name="Normal" xfId="0" builtinId="0"/>
  </cellStyles>
  <dxfs count="28">
    <dxf>
      <alignment vertical="center" textRotation="0" wrapText="1" indent="0" justifyLastLine="0" shrinkToFit="0" readingOrder="0"/>
      <border diagonalUp="0" diagonalDown="0">
        <left style="thin">
          <color indexed="64"/>
        </left>
        <right/>
        <top style="thin">
          <color indexed="64"/>
        </top>
        <bottom style="thin">
          <color indexed="64"/>
        </bottom>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color auto="1"/>
        <name val="Calibri"/>
        <family val="2"/>
        <scheme val="minor"/>
      </font>
      <numFmt numFmtId="16" formatCode="##0.0E+0"/>
      <fill>
        <patternFill patternType="solid">
          <fgColor indexed="64"/>
          <bgColor theme="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protection locked="1" hidden="0"/>
    </dxf>
    <dxf>
      <protection locked="1" hidden="0"/>
    </dxf>
    <dxf>
      <alignment vertical="center" textRotation="0" indent="0" justifyLastLine="0" shrinkToFit="0" readingOrder="0"/>
      <protection locked="1" hidden="0"/>
    </dxf>
    <dxf>
      <font>
        <strike val="0"/>
        <outline val="0"/>
        <shadow val="0"/>
        <u val="none"/>
        <vertAlign val="baseline"/>
        <color auto="1"/>
        <name val="Calibri"/>
        <family val="2"/>
        <scheme val="minor"/>
      </font>
      <fill>
        <patternFill>
          <fgColor indexed="64"/>
          <bgColor theme="1"/>
        </patternFill>
      </fill>
      <protection locked="1" hidden="0"/>
    </dxf>
    <dxf>
      <protection locked="1" hidden="0"/>
    </dxf>
    <dxf>
      <protection locked="1" hidden="0"/>
    </dxf>
    <dxf>
      <alignment vertical="center" textRotation="0" indent="0" justifyLastLine="0" shrinkToFit="0" readingOrder="0"/>
      <protection locked="1" hidden="0"/>
    </dxf>
    <dxf>
      <font>
        <strike val="0"/>
        <outline val="0"/>
        <shadow val="0"/>
        <u val="none"/>
        <vertAlign val="baseline"/>
        <color auto="1"/>
        <name val="Calibri"/>
        <family val="2"/>
        <scheme val="minor"/>
      </font>
      <fill>
        <patternFill>
          <fgColor indexed="64"/>
          <bgColor theme="1"/>
        </patternFill>
      </fill>
      <protection locked="1" hidden="0"/>
    </dxf>
    <dxf>
      <border>
        <right style="thin">
          <color indexed="64"/>
        </right>
      </border>
      <protection locked="1" hidden="0"/>
    </dxf>
    <dxf>
      <protection locked="1" hidden="0"/>
    </dxf>
    <dxf>
      <alignment vertical="center" textRotation="0" indent="0" justifyLastLine="0" shrinkToFit="0" readingOrder="0"/>
      <protection locked="1" hidden="0"/>
    </dxf>
    <dxf>
      <font>
        <strike val="0"/>
        <outline val="0"/>
        <shadow val="0"/>
        <u val="none"/>
        <vertAlign val="baseline"/>
        <color auto="1"/>
        <name val="Calibri"/>
        <family val="2"/>
        <scheme val="minor"/>
      </font>
      <fill>
        <patternFill patternType="none">
          <fgColor indexed="64"/>
          <bgColor theme="1"/>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alignment vertical="center" textRotation="0" indent="0" justifyLastLine="0" shrinkToFit="0" readingOrder="0"/>
      <border diagonalUp="0" diagonalDown="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alignmen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border diagonalUp="0" diagonalDown="0">
        <left style="thin">
          <color indexed="64"/>
        </left>
        <right style="thin">
          <color indexed="64"/>
        </right>
        <top/>
        <bottom/>
      </border>
      <protection locked="1" hidden="0"/>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371474</xdr:colOff>
      <xdr:row>0</xdr:row>
      <xdr:rowOff>95250</xdr:rowOff>
    </xdr:from>
    <xdr:to>
      <xdr:col>19</xdr:col>
      <xdr:colOff>137160</xdr:colOff>
      <xdr:row>21</xdr:row>
      <xdr:rowOff>37353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71474" y="95250"/>
          <a:ext cx="11404862" cy="38641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baseline="0">
              <a:solidFill>
                <a:schemeClr val="dk1"/>
              </a:solidFill>
              <a:effectLst/>
              <a:latin typeface="Arial" panose="020B0604020202020204" pitchFamily="34" charset="0"/>
              <a:ea typeface="+mn-ea"/>
              <a:cs typeface="Arial" panose="020B0604020202020204" pitchFamily="34" charset="0"/>
            </a:rPr>
            <a:t>This calculator allows you to explore the tradeoffs associated with SIMO parameters.</a:t>
          </a:r>
        </a:p>
        <a:p>
          <a:r>
            <a:rPr lang="en-US" sz="1200" b="0" i="0" u="none" strike="noStrike" baseline="0">
              <a:solidFill>
                <a:schemeClr val="dk1"/>
              </a:solidFill>
              <a:effectLst/>
              <a:latin typeface="Arial" panose="020B0604020202020204" pitchFamily="34" charset="0"/>
              <a:ea typeface="+mn-ea"/>
              <a:cs typeface="Arial" panose="020B0604020202020204" pitchFamily="34" charset="0"/>
            </a:rPr>
            <a:t>*  </a:t>
          </a:r>
          <a:r>
            <a:rPr lang="en-US" sz="1200" b="0" i="0" u="none" strike="noStrike" baseline="0">
              <a:solidFill>
                <a:schemeClr val="dk1"/>
              </a:solidFill>
              <a:latin typeface="Arial" panose="020B0604020202020204" pitchFamily="34" charset="0"/>
              <a:ea typeface="+mn-ea"/>
              <a:cs typeface="Arial" panose="020B0604020202020204" pitchFamily="34" charset="0"/>
            </a:rPr>
            <a:t>The SIMO output voltage ripple is a function of the output capacitor, inductance, output voltage setting, peak current limit setting, and power mode.    </a:t>
          </a:r>
        </a:p>
        <a:p>
          <a:r>
            <a:rPr lang="en-US" sz="1200" b="0" i="0" u="none" strike="noStrike" baseline="0">
              <a:solidFill>
                <a:schemeClr val="dk1"/>
              </a:solidFill>
              <a:effectLst/>
              <a:latin typeface="Arial" panose="020B0604020202020204" pitchFamily="34" charset="0"/>
              <a:ea typeface="+mn-ea"/>
              <a:cs typeface="Arial" panose="020B0604020202020204" pitchFamily="34" charset="0"/>
            </a:rPr>
            <a:t>*  </a:t>
          </a:r>
          <a:r>
            <a:rPr lang="en-US" sz="1200" b="0" i="0">
              <a:solidFill>
                <a:schemeClr val="dk1"/>
              </a:solidFill>
              <a:effectLst/>
              <a:latin typeface="Arial" panose="020B0604020202020204" pitchFamily="34" charset="0"/>
              <a:ea typeface="+mn-ea"/>
              <a:cs typeface="Arial" panose="020B0604020202020204" pitchFamily="34" charset="0"/>
            </a:rPr>
            <a:t>The SIMO available</a:t>
          </a:r>
          <a:r>
            <a:rPr lang="en-US" sz="1200" b="0" i="0" baseline="0">
              <a:solidFill>
                <a:schemeClr val="dk1"/>
              </a:solidFill>
              <a:effectLst/>
              <a:latin typeface="Arial" panose="020B0604020202020204" pitchFamily="34" charset="0"/>
              <a:ea typeface="+mn-ea"/>
              <a:cs typeface="Arial" panose="020B0604020202020204" pitchFamily="34" charset="0"/>
            </a:rPr>
            <a:t> output current is a function of the input voltage, output voltage, the peak current limit setting, and the output current of the other SIMO channels.  </a:t>
          </a:r>
        </a:p>
        <a:p>
          <a:r>
            <a:rPr lang="en-US" sz="1200" b="0" i="0" baseline="0">
              <a:solidFill>
                <a:schemeClr val="dk1"/>
              </a:solidFill>
              <a:effectLst/>
              <a:latin typeface="Arial" panose="020B0604020202020204" pitchFamily="34" charset="0"/>
              <a:ea typeface="+mn-ea"/>
              <a:cs typeface="Arial" panose="020B0604020202020204" pitchFamily="34" charset="0"/>
            </a:rPr>
            <a:t>*  The SIMO switching frequency is a function of input voltage, output voltage, peak current limit, inductance, and power mode.  </a:t>
          </a:r>
          <a:endParaRPr lang="en-US" sz="1200">
            <a:effectLst/>
            <a:latin typeface="Arial" panose="020B0604020202020204" pitchFamily="34" charset="0"/>
            <a:cs typeface="Arial" panose="020B0604020202020204" pitchFamily="34" charset="0"/>
          </a:endParaRPr>
        </a:p>
        <a:p>
          <a:endParaRPr lang="en-US" sz="1200" b="0" i="0" u="none" strike="noStrike" baseline="0">
            <a:solidFill>
              <a:schemeClr val="dk1"/>
            </a:solidFill>
            <a:latin typeface="Arial" panose="020B0604020202020204" pitchFamily="34" charset="0"/>
            <a:ea typeface="+mn-ea"/>
            <a:cs typeface="Arial" panose="020B0604020202020204" pitchFamily="34" charset="0"/>
          </a:endParaRPr>
        </a:p>
        <a:p>
          <a:r>
            <a:rPr lang="en-US" sz="1200" b="0" i="0" u="none" strike="noStrike" baseline="0">
              <a:solidFill>
                <a:schemeClr val="dk1"/>
              </a:solidFill>
              <a:latin typeface="Arial" panose="020B0604020202020204" pitchFamily="34" charset="0"/>
              <a:ea typeface="+mn-ea"/>
              <a:cs typeface="Arial" panose="020B0604020202020204" pitchFamily="34" charset="0"/>
            </a:rPr>
            <a:t>* On the </a:t>
          </a:r>
          <a:r>
            <a:rPr lang="en-US" sz="1200" b="0" i="0" u="none" strike="noStrike" baseline="0">
              <a:solidFill>
                <a:sysClr val="windowText" lastClr="000000"/>
              </a:solidFill>
              <a:latin typeface="Arial" panose="020B0604020202020204" pitchFamily="34" charset="0"/>
              <a:ea typeface="+mn-ea"/>
              <a:cs typeface="Arial" panose="020B0604020202020204" pitchFamily="34" charset="0"/>
            </a:rPr>
            <a:t>'Calculator' tab, enter the sytem parameters in the corresponding 'values' cell within the top section of rows.</a:t>
          </a:r>
          <a:br>
            <a:rPr lang="en-US" sz="1200" b="0" i="0" u="none" strike="noStrike" baseline="0">
              <a:solidFill>
                <a:sysClr val="windowText" lastClr="000000"/>
              </a:solidFill>
              <a:latin typeface="Arial" panose="020B0604020202020204" pitchFamily="34" charset="0"/>
              <a:ea typeface="+mn-ea"/>
              <a:cs typeface="Arial" panose="020B0604020202020204" pitchFamily="34" charset="0"/>
            </a:rPr>
          </a:br>
          <a:endParaRPr lang="en-US" sz="12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en-US" sz="1200" b="0" i="0" u="none" strike="noStrike" baseline="0">
              <a:solidFill>
                <a:sysClr val="windowText" lastClr="000000"/>
              </a:solidFill>
              <a:latin typeface="Arial" panose="020B0604020202020204" pitchFamily="34" charset="0"/>
              <a:ea typeface="+mn-ea"/>
              <a:cs typeface="Arial" panose="020B0604020202020204" pitchFamily="34" charset="0"/>
            </a:rPr>
            <a:t>* With the values entered in the top section of rows, inspect the calculated values in the lower sections.  The calculations that are typcially the most interesting are highlighted in yellow.</a:t>
          </a:r>
        </a:p>
        <a:p>
          <a:r>
            <a:rPr lang="en-US" sz="1200" b="0" i="0" u="none" strike="noStrike" baseline="0">
              <a:solidFill>
                <a:sysClr val="windowText" lastClr="000000"/>
              </a:solidFill>
              <a:latin typeface="Arial" panose="020B0604020202020204" pitchFamily="34" charset="0"/>
              <a:ea typeface="+mn-ea"/>
              <a:cs typeface="Arial" panose="020B0604020202020204" pitchFamily="34" charset="0"/>
            </a:rPr>
            <a:t>*** Generally speaking, applications should use the lowest possible i_peak.  Inspect the "capacity_utilized_total" value and if it is greater than 80%, then increase the i_peak.  If is is much much less than 80% try lowering the i_peak value.</a:t>
          </a:r>
          <a:br>
            <a:rPr lang="en-US" sz="1200" b="0" i="0" u="none" strike="noStrike" baseline="0">
              <a:solidFill>
                <a:sysClr val="windowText" lastClr="000000"/>
              </a:solidFill>
              <a:latin typeface="Arial" panose="020B0604020202020204" pitchFamily="34" charset="0"/>
              <a:ea typeface="+mn-ea"/>
              <a:cs typeface="Arial" panose="020B0604020202020204" pitchFamily="34" charset="0"/>
            </a:rPr>
          </a:br>
          <a:r>
            <a:rPr lang="en-US" sz="1200" b="0" i="0" u="none" strike="noStrike" baseline="0">
              <a:solidFill>
                <a:sysClr val="windowText" lastClr="000000"/>
              </a:solidFill>
              <a:latin typeface="Arial" panose="020B0604020202020204" pitchFamily="34" charset="0"/>
              <a:ea typeface="+mn-ea"/>
              <a:cs typeface="Arial" panose="020B0604020202020204" pitchFamily="34" charset="0"/>
            </a:rPr>
            <a:t>*** Once the i_peak value has been optimized, then inspect the "v_out_max" and "v_out_min" values.  If these values are outside of your acceptable range, then increase the effective output capacitance (c_out_effective).  If the values are very comfortable for your application you can consider reducing the output capacitance if it makes your solution size smaller.</a:t>
          </a:r>
        </a:p>
        <a:p>
          <a:endParaRPr lang="en-US" sz="12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en-US" sz="1200" b="0" i="0" u="none" strike="noStrike" baseline="0">
              <a:solidFill>
                <a:sysClr val="windowText" lastClr="000000"/>
              </a:solidFill>
              <a:latin typeface="Arial" panose="020B0604020202020204" pitchFamily="34" charset="0"/>
              <a:ea typeface="+mn-ea"/>
              <a:cs typeface="Arial" panose="020B0604020202020204" pitchFamily="34" charset="0"/>
            </a:rPr>
            <a:t>* Several cells will highlight themselves in red when a parameter is outside the "normal" region.  Before implementing a given design, scan the spreadsheet for any red highlighted cells.  If you find a red cell, study the comments section to the right of that cell for suggestions on how to improve your design.</a:t>
          </a:r>
        </a:p>
        <a:p>
          <a:endParaRPr lang="en-US" sz="12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en-US" sz="1200" b="0" i="0" u="none" strike="noStrike" baseline="0">
              <a:solidFill>
                <a:sysClr val="windowText" lastClr="000000"/>
              </a:solidFill>
              <a:latin typeface="Arial" panose="020B0604020202020204" pitchFamily="34" charset="0"/>
              <a:ea typeface="+mn-ea"/>
              <a:cs typeface="Arial" panose="020B0604020202020204" pitchFamily="34" charset="0"/>
            </a:rPr>
            <a:t>*Note that the output voltage ripple and output voltage ripple frequency only applies when the part operates in "Normal Mode". The output voltage ripple and output voltage frequency will not apply when the part is operating under light low and is in the "Ultra Low Power Mode".</a:t>
          </a:r>
          <a:endParaRPr lang="en-US" sz="12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Q107" totalsRowShown="0" headerRowDxfId="21" dataDxfId="19" headerRowBorderDxfId="20" tableBorderDxfId="18" totalsRowBorderDxfId="17">
  <tableColumns count="17">
    <tableColumn id="1" xr3:uid="{00000000-0010-0000-0000-000001000000}" name="Action" dataDxfId="16"/>
    <tableColumn id="2" xr3:uid="{00000000-0010-0000-0000-000002000000}" name="Symbol" dataDxfId="15"/>
    <tableColumn id="17" xr3:uid="{00000000-0010-0000-0000-000011000000}" name="Column3" dataDxfId="14"/>
    <tableColumn id="5" xr3:uid="{00000000-0010-0000-0000-000005000000}" name="OUT1_x000a_Values_x000a_MIN" dataDxfId="13"/>
    <tableColumn id="14" xr3:uid="{00000000-0010-0000-0000-00000E000000}" name="OUT1_x000a_Values_x000a_TYP" dataDxfId="12"/>
    <tableColumn id="13" xr3:uid="{00000000-0010-0000-0000-00000D000000}" name="OUT1_x000a_Values_x000a_MAX" dataDxfId="11"/>
    <tableColumn id="15" xr3:uid="{00000000-0010-0000-0000-00000F000000}" name="Column1" dataDxfId="10"/>
    <tableColumn id="4" xr3:uid="{00000000-0010-0000-0000-000004000000}" name="OUT2_x000a_Values_x000a_MIN" dataDxfId="9"/>
    <tableColumn id="12" xr3:uid="{00000000-0010-0000-0000-00000C000000}" name="OUT2_x000a_Values_x000a_TYP" dataDxfId="8"/>
    <tableColumn id="11" xr3:uid="{00000000-0010-0000-0000-00000B000000}" name="OUT2_x000a_Values_x000a_MAX" dataDxfId="7"/>
    <tableColumn id="16" xr3:uid="{00000000-0010-0000-0000-000010000000}" name="Column2" dataDxfId="6"/>
    <tableColumn id="3" xr3:uid="{00000000-0010-0000-0000-000003000000}" name="OUT3_x000a_Values_x000a_MIN" dataDxfId="5"/>
    <tableColumn id="10" xr3:uid="{00000000-0010-0000-0000-00000A000000}" name="OUT3_x000a_Values_x000a_TYP" dataDxfId="4"/>
    <tableColumn id="9" xr3:uid="{00000000-0010-0000-0000-000009000000}" name="OUT3_x000a_Values_x000a_MAX" dataDxfId="3"/>
    <tableColumn id="8" xr3:uid="{00000000-0010-0000-0000-000008000000}" name="last_column" dataDxfId="2"/>
    <tableColumn id="6" xr3:uid="{00000000-0010-0000-0000-000006000000}" name="Unit" dataDxfId="1"/>
    <tableColumn id="7" xr3:uid="{00000000-0010-0000-0000-000007000000}" name="Commen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zoomScale="85" zoomScaleNormal="85" workbookViewId="0">
      <selection activeCell="J20" sqref="J20"/>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8"/>
  <sheetViews>
    <sheetView showGridLines="0" tabSelected="1" zoomScale="85" zoomScaleNormal="85" workbookViewId="0">
      <pane ySplit="1" topLeftCell="A2" activePane="bottomLeft" state="frozen"/>
      <selection pane="bottomLeft" activeCell="D9" sqref="D9"/>
    </sheetView>
  </sheetViews>
  <sheetFormatPr defaultColWidth="8.81640625" defaultRowHeight="14.5" x14ac:dyDescent="0.35"/>
  <cols>
    <col min="1" max="1" width="11.54296875" style="12" bestFit="1" customWidth="1"/>
    <col min="2" max="2" width="24.26953125" style="37" customWidth="1"/>
    <col min="3" max="3" width="1.7265625" style="37" customWidth="1"/>
    <col min="4" max="6" width="12.7265625" style="37" customWidth="1"/>
    <col min="7" max="7" width="1.7265625" style="37" customWidth="1"/>
    <col min="8" max="10" width="12.7265625" style="37" customWidth="1"/>
    <col min="11" max="11" width="1.7265625" style="37" customWidth="1"/>
    <col min="12" max="14" width="12.7265625" style="37" customWidth="1"/>
    <col min="15" max="15" width="1.7265625" style="37" customWidth="1"/>
    <col min="16" max="16" width="10.7265625" style="37" customWidth="1"/>
    <col min="17" max="17" width="115.26953125" style="39" customWidth="1"/>
    <col min="18" max="16384" width="8.81640625" style="12"/>
  </cols>
  <sheetData>
    <row r="1" spans="1:22" ht="49.9" customHeight="1" x14ac:dyDescent="0.35">
      <c r="A1" s="6" t="s">
        <v>14</v>
      </c>
      <c r="B1" s="7" t="s">
        <v>4</v>
      </c>
      <c r="C1" s="8" t="s">
        <v>145</v>
      </c>
      <c r="D1" s="9" t="s">
        <v>191</v>
      </c>
      <c r="E1" s="9" t="s">
        <v>192</v>
      </c>
      <c r="F1" s="9" t="s">
        <v>193</v>
      </c>
      <c r="G1" s="10" t="s">
        <v>143</v>
      </c>
      <c r="H1" s="9" t="s">
        <v>194</v>
      </c>
      <c r="I1" s="9" t="s">
        <v>195</v>
      </c>
      <c r="J1" s="9" t="s">
        <v>196</v>
      </c>
      <c r="K1" s="10" t="s">
        <v>144</v>
      </c>
      <c r="L1" s="9" t="s">
        <v>197</v>
      </c>
      <c r="M1" s="9" t="s">
        <v>198</v>
      </c>
      <c r="N1" s="9" t="s">
        <v>199</v>
      </c>
      <c r="O1" s="10" t="s">
        <v>36</v>
      </c>
      <c r="P1" s="7" t="s">
        <v>3</v>
      </c>
      <c r="Q1" s="11" t="s">
        <v>15</v>
      </c>
    </row>
    <row r="2" spans="1:22" ht="29" x14ac:dyDescent="0.35">
      <c r="A2" s="13" t="s">
        <v>6</v>
      </c>
      <c r="B2" s="14" t="s">
        <v>35</v>
      </c>
      <c r="C2" s="15"/>
      <c r="D2" s="1">
        <v>1.1000000000000001</v>
      </c>
      <c r="E2" s="16">
        <f>$D$2</f>
        <v>1.1000000000000001</v>
      </c>
      <c r="F2" s="16">
        <f>$D$2</f>
        <v>1.1000000000000001</v>
      </c>
      <c r="G2" s="15"/>
      <c r="H2" s="1">
        <v>1.1000000000000001</v>
      </c>
      <c r="I2" s="16">
        <f>$H$2</f>
        <v>1.1000000000000001</v>
      </c>
      <c r="J2" s="16">
        <f>$H$2</f>
        <v>1.1000000000000001</v>
      </c>
      <c r="K2" s="15"/>
      <c r="L2" s="1">
        <v>1.1000000000000001</v>
      </c>
      <c r="M2" s="16">
        <f>$L$2</f>
        <v>1.1000000000000001</v>
      </c>
      <c r="N2" s="16">
        <f>$L$2</f>
        <v>1.1000000000000001</v>
      </c>
      <c r="O2" s="15"/>
      <c r="P2" s="14" t="s">
        <v>7</v>
      </c>
      <c r="Q2" s="17" t="s">
        <v>200</v>
      </c>
    </row>
    <row r="3" spans="1:22" x14ac:dyDescent="0.35">
      <c r="A3" s="13" t="s">
        <v>6</v>
      </c>
      <c r="B3" s="14" t="s">
        <v>37</v>
      </c>
      <c r="C3" s="15"/>
      <c r="D3" s="1">
        <v>3.7</v>
      </c>
      <c r="E3" s="16">
        <f>$D$3</f>
        <v>3.7</v>
      </c>
      <c r="F3" s="16">
        <f>$D$3</f>
        <v>3.7</v>
      </c>
      <c r="G3" s="15"/>
      <c r="H3" s="16">
        <f>$D$3</f>
        <v>3.7</v>
      </c>
      <c r="I3" s="16">
        <f>$D$3</f>
        <v>3.7</v>
      </c>
      <c r="J3" s="16">
        <f>$D$3</f>
        <v>3.7</v>
      </c>
      <c r="K3" s="15"/>
      <c r="L3" s="16">
        <f>$D$3</f>
        <v>3.7</v>
      </c>
      <c r="M3" s="16">
        <f>$D$3</f>
        <v>3.7</v>
      </c>
      <c r="N3" s="16">
        <f>$D$3</f>
        <v>3.7</v>
      </c>
      <c r="O3" s="15"/>
      <c r="P3" s="14" t="s">
        <v>1</v>
      </c>
      <c r="Q3" s="17" t="s">
        <v>108</v>
      </c>
    </row>
    <row r="4" spans="1:22" ht="29" x14ac:dyDescent="0.35">
      <c r="A4" s="13" t="s">
        <v>6</v>
      </c>
      <c r="B4" s="14" t="s">
        <v>0</v>
      </c>
      <c r="C4" s="15"/>
      <c r="D4" s="2">
        <v>2.2000000000000001E-6</v>
      </c>
      <c r="E4" s="19">
        <f>$D$4</f>
        <v>2.2000000000000001E-6</v>
      </c>
      <c r="F4" s="19">
        <f>$D$4</f>
        <v>2.2000000000000001E-6</v>
      </c>
      <c r="G4" s="20"/>
      <c r="H4" s="19">
        <f>$D$4</f>
        <v>2.2000000000000001E-6</v>
      </c>
      <c r="I4" s="19">
        <f>$D$4</f>
        <v>2.2000000000000001E-6</v>
      </c>
      <c r="J4" s="19">
        <f>$D$4</f>
        <v>2.2000000000000001E-6</v>
      </c>
      <c r="K4" s="20"/>
      <c r="L4" s="19">
        <f>$D$4</f>
        <v>2.2000000000000001E-6</v>
      </c>
      <c r="M4" s="19">
        <f>$D$4</f>
        <v>2.2000000000000001E-6</v>
      </c>
      <c r="N4" s="19">
        <f>$D$4</f>
        <v>2.2000000000000001E-6</v>
      </c>
      <c r="O4" s="20"/>
      <c r="P4" s="14" t="s">
        <v>16</v>
      </c>
      <c r="Q4" s="21" t="s">
        <v>125</v>
      </c>
    </row>
    <row r="5" spans="1:22" x14ac:dyDescent="0.35">
      <c r="A5" s="13" t="s">
        <v>6</v>
      </c>
      <c r="B5" s="14" t="s">
        <v>38</v>
      </c>
      <c r="C5" s="15"/>
      <c r="D5" s="19">
        <f>$L$5</f>
        <v>2.35E-2</v>
      </c>
      <c r="E5" s="19">
        <f>$L$5</f>
        <v>2.35E-2</v>
      </c>
      <c r="F5" s="19">
        <f>$L$5</f>
        <v>2.35E-2</v>
      </c>
      <c r="G5" s="22"/>
      <c r="H5" s="19">
        <f>$L$5</f>
        <v>2.35E-2</v>
      </c>
      <c r="I5" s="19">
        <f>$L$5</f>
        <v>2.35E-2</v>
      </c>
      <c r="J5" s="19">
        <f>$L$5</f>
        <v>2.35E-2</v>
      </c>
      <c r="K5" s="22"/>
      <c r="L5" s="2">
        <v>2.35E-2</v>
      </c>
      <c r="M5" s="19">
        <f>$L$5</f>
        <v>2.35E-2</v>
      </c>
      <c r="N5" s="19">
        <f>$L$5</f>
        <v>2.35E-2</v>
      </c>
      <c r="O5" s="22"/>
      <c r="P5" s="23" t="s">
        <v>9</v>
      </c>
      <c r="Q5" s="17" t="s">
        <v>109</v>
      </c>
    </row>
    <row r="6" spans="1:22" hidden="1" x14ac:dyDescent="0.35">
      <c r="A6" s="24" t="s">
        <v>6</v>
      </c>
      <c r="B6" s="25" t="s">
        <v>79</v>
      </c>
      <c r="C6" s="15"/>
      <c r="D6" s="19">
        <f>$L$6</f>
        <v>0.01</v>
      </c>
      <c r="E6" s="19">
        <f>$L$6</f>
        <v>0.01</v>
      </c>
      <c r="F6" s="19">
        <f>$L$6</f>
        <v>0.01</v>
      </c>
      <c r="G6" s="22"/>
      <c r="H6" s="19">
        <f>$L$6</f>
        <v>0.01</v>
      </c>
      <c r="I6" s="19">
        <f>$L$6</f>
        <v>0.01</v>
      </c>
      <c r="J6" s="19">
        <f>$L$6</f>
        <v>0.01</v>
      </c>
      <c r="K6" s="22"/>
      <c r="L6" s="18">
        <v>0.01</v>
      </c>
      <c r="M6" s="19">
        <f>$L$6</f>
        <v>0.01</v>
      </c>
      <c r="N6" s="19">
        <f>$L$6</f>
        <v>0.01</v>
      </c>
      <c r="O6" s="22"/>
      <c r="P6" s="25" t="s">
        <v>8</v>
      </c>
      <c r="Q6" s="21" t="s">
        <v>123</v>
      </c>
    </row>
    <row r="7" spans="1:22" ht="72.5" x14ac:dyDescent="0.35">
      <c r="A7" s="13" t="s">
        <v>6</v>
      </c>
      <c r="B7" s="14" t="s">
        <v>39</v>
      </c>
      <c r="C7" s="15"/>
      <c r="D7" s="2">
        <v>1.0000000000000001E-5</v>
      </c>
      <c r="E7" s="19">
        <f>$D$7</f>
        <v>1.0000000000000001E-5</v>
      </c>
      <c r="F7" s="19">
        <f>$D$7</f>
        <v>1.0000000000000001E-5</v>
      </c>
      <c r="G7" s="22"/>
      <c r="H7" s="2">
        <v>1.0000000000000001E-5</v>
      </c>
      <c r="I7" s="19">
        <f>$H$7</f>
        <v>1.0000000000000001E-5</v>
      </c>
      <c r="J7" s="19">
        <f>$H$7</f>
        <v>1.0000000000000001E-5</v>
      </c>
      <c r="K7" s="22"/>
      <c r="L7" s="2">
        <v>1.0000000000000001E-5</v>
      </c>
      <c r="M7" s="19">
        <f>$L$7</f>
        <v>1.0000000000000001E-5</v>
      </c>
      <c r="N7" s="19">
        <f>$L$7</f>
        <v>1.0000000000000001E-5</v>
      </c>
      <c r="O7" s="22"/>
      <c r="P7" s="14" t="s">
        <v>8</v>
      </c>
      <c r="Q7" s="21" t="s">
        <v>156</v>
      </c>
      <c r="U7" s="26"/>
      <c r="V7" s="27"/>
    </row>
    <row r="8" spans="1:22" hidden="1" x14ac:dyDescent="0.35">
      <c r="A8" s="24" t="s">
        <v>6</v>
      </c>
      <c r="B8" s="25" t="s">
        <v>80</v>
      </c>
      <c r="C8" s="15"/>
      <c r="D8" s="19">
        <f>$L$8</f>
        <v>0.01</v>
      </c>
      <c r="E8" s="19">
        <f>$L$8</f>
        <v>0.01</v>
      </c>
      <c r="F8" s="19">
        <f>$L$8</f>
        <v>0.01</v>
      </c>
      <c r="G8" s="22"/>
      <c r="H8" s="19">
        <f>$L$8</f>
        <v>0.01</v>
      </c>
      <c r="I8" s="19">
        <f>$L$8</f>
        <v>0.01</v>
      </c>
      <c r="J8" s="19">
        <f>$L$8</f>
        <v>0.01</v>
      </c>
      <c r="K8" s="22"/>
      <c r="L8" s="18">
        <v>0.01</v>
      </c>
      <c r="M8" s="19">
        <f>$L$8</f>
        <v>0.01</v>
      </c>
      <c r="N8" s="19">
        <f>$L$8</f>
        <v>0.01</v>
      </c>
      <c r="O8" s="22"/>
      <c r="P8" s="25" t="s">
        <v>8</v>
      </c>
      <c r="Q8" s="21" t="s">
        <v>124</v>
      </c>
    </row>
    <row r="9" spans="1:22" x14ac:dyDescent="0.35">
      <c r="A9" s="13" t="s">
        <v>6</v>
      </c>
      <c r="B9" s="25" t="s">
        <v>106</v>
      </c>
      <c r="C9" s="15"/>
      <c r="D9" s="3">
        <v>-2.5</v>
      </c>
      <c r="E9" s="3">
        <v>0</v>
      </c>
      <c r="F9" s="3">
        <v>2.5</v>
      </c>
      <c r="G9" s="28"/>
      <c r="H9" s="3">
        <v>-2.5</v>
      </c>
      <c r="I9" s="3">
        <v>0</v>
      </c>
      <c r="J9" s="3">
        <v>2.5</v>
      </c>
      <c r="K9" s="28"/>
      <c r="L9" s="3">
        <v>-2.5</v>
      </c>
      <c r="M9" s="3">
        <v>0</v>
      </c>
      <c r="N9" s="3">
        <v>2.5</v>
      </c>
      <c r="O9" s="22"/>
      <c r="P9" s="25" t="s">
        <v>34</v>
      </c>
      <c r="Q9" s="21" t="s">
        <v>107</v>
      </c>
    </row>
    <row r="10" spans="1:22" x14ac:dyDescent="0.35">
      <c r="A10" s="13" t="s">
        <v>6</v>
      </c>
      <c r="B10" s="25" t="s">
        <v>110</v>
      </c>
      <c r="C10" s="15"/>
      <c r="D10" s="3">
        <v>1.2</v>
      </c>
      <c r="E10" s="29">
        <f>$D$10</f>
        <v>1.2</v>
      </c>
      <c r="F10" s="29">
        <f>$D$10</f>
        <v>1.2</v>
      </c>
      <c r="G10" s="28"/>
      <c r="H10" s="3">
        <v>1.8</v>
      </c>
      <c r="I10" s="29">
        <f>$H$10</f>
        <v>1.8</v>
      </c>
      <c r="J10" s="29">
        <f>$H$10</f>
        <v>1.8</v>
      </c>
      <c r="K10" s="28"/>
      <c r="L10" s="4">
        <v>3.3</v>
      </c>
      <c r="M10" s="29">
        <f>$L$10</f>
        <v>3.3</v>
      </c>
      <c r="N10" s="29">
        <f>$L$10</f>
        <v>3.3</v>
      </c>
      <c r="O10" s="22"/>
      <c r="P10" s="25" t="s">
        <v>1</v>
      </c>
      <c r="Q10" s="21" t="s">
        <v>111</v>
      </c>
    </row>
    <row r="11" spans="1:22" x14ac:dyDescent="0.35">
      <c r="A11" s="13" t="s">
        <v>5</v>
      </c>
      <c r="B11" s="14" t="s">
        <v>40</v>
      </c>
      <c r="C11" s="15"/>
      <c r="D11" s="14">
        <f>D10*(1+D9%)</f>
        <v>1.17</v>
      </c>
      <c r="E11" s="14">
        <f>E10*(1+E9%)</f>
        <v>1.2</v>
      </c>
      <c r="F11" s="14">
        <f>F10*(1+F9%)</f>
        <v>1.2299999999999998</v>
      </c>
      <c r="G11" s="15"/>
      <c r="H11" s="14">
        <f>H10*(1+H9%)</f>
        <v>1.7549999999999999</v>
      </c>
      <c r="I11" s="14">
        <f>I10*(1+I9%)</f>
        <v>1.8</v>
      </c>
      <c r="J11" s="14">
        <f>J10*(1+J9%)</f>
        <v>1.845</v>
      </c>
      <c r="K11" s="15"/>
      <c r="L11" s="14">
        <f t="shared" ref="L11:N11" si="0">L10*(1+L9%)</f>
        <v>3.2174999999999998</v>
      </c>
      <c r="M11" s="14">
        <f t="shared" si="0"/>
        <v>3.3</v>
      </c>
      <c r="N11" s="14">
        <f t="shared" si="0"/>
        <v>3.3824999999999994</v>
      </c>
      <c r="O11" s="15"/>
      <c r="P11" s="14" t="s">
        <v>1</v>
      </c>
      <c r="Q11" s="17" t="s">
        <v>112</v>
      </c>
    </row>
    <row r="12" spans="1:22" ht="43.5" x14ac:dyDescent="0.35">
      <c r="A12" s="13" t="s">
        <v>6</v>
      </c>
      <c r="B12" s="14" t="s">
        <v>41</v>
      </c>
      <c r="C12" s="15"/>
      <c r="D12" s="5">
        <v>0.1</v>
      </c>
      <c r="E12" s="16">
        <f>$D$12</f>
        <v>0.1</v>
      </c>
      <c r="F12" s="16">
        <f>$D$12</f>
        <v>0.1</v>
      </c>
      <c r="G12" s="15"/>
      <c r="H12" s="5">
        <v>0.1</v>
      </c>
      <c r="I12" s="16">
        <f>$H$12</f>
        <v>0.1</v>
      </c>
      <c r="J12" s="16">
        <f>$H$12</f>
        <v>0.1</v>
      </c>
      <c r="K12" s="15"/>
      <c r="L12" s="5">
        <v>0.05</v>
      </c>
      <c r="M12" s="16">
        <f>$L$12</f>
        <v>0.05</v>
      </c>
      <c r="N12" s="16">
        <f>$L$12</f>
        <v>0.05</v>
      </c>
      <c r="O12" s="15"/>
      <c r="P12" s="14" t="s">
        <v>7</v>
      </c>
      <c r="Q12" s="17" t="s">
        <v>177</v>
      </c>
    </row>
    <row r="13" spans="1:22" hidden="1" x14ac:dyDescent="0.35">
      <c r="A13" s="24" t="s">
        <v>5</v>
      </c>
      <c r="B13" s="25" t="s">
        <v>190</v>
      </c>
      <c r="C13" s="15"/>
      <c r="D13" s="115"/>
      <c r="E13" s="31">
        <f>E10/E12</f>
        <v>11.999999999999998</v>
      </c>
      <c r="F13" s="31"/>
      <c r="G13" s="30"/>
      <c r="H13" s="115"/>
      <c r="I13" s="31">
        <f>I10/I12</f>
        <v>18</v>
      </c>
      <c r="J13" s="31"/>
      <c r="K13" s="30"/>
      <c r="L13" s="115"/>
      <c r="M13" s="31">
        <f>M10/M12</f>
        <v>65.999999999999986</v>
      </c>
      <c r="N13" s="14"/>
      <c r="O13" s="22"/>
      <c r="P13" s="25"/>
      <c r="Q13" s="32"/>
    </row>
    <row r="14" spans="1:22" x14ac:dyDescent="0.35">
      <c r="A14" s="13"/>
      <c r="B14" s="25"/>
      <c r="C14" s="15"/>
      <c r="D14" s="113"/>
      <c r="E14" s="113"/>
      <c r="F14" s="114"/>
      <c r="G14" s="112"/>
      <c r="H14" s="113"/>
      <c r="I14" s="113"/>
      <c r="J14" s="113"/>
      <c r="K14" s="112"/>
      <c r="L14" s="113"/>
      <c r="M14" s="113"/>
      <c r="N14" s="113"/>
      <c r="O14" s="22"/>
      <c r="P14" s="25"/>
      <c r="Q14" s="32"/>
    </row>
    <row r="15" spans="1:22" x14ac:dyDescent="0.35">
      <c r="A15" s="105"/>
      <c r="B15" s="106" t="s">
        <v>171</v>
      </c>
      <c r="C15" s="105"/>
      <c r="D15" s="105"/>
      <c r="E15" s="105"/>
      <c r="F15" s="105"/>
      <c r="G15" s="105"/>
      <c r="H15" s="105"/>
      <c r="I15" s="105"/>
      <c r="J15" s="105"/>
      <c r="K15" s="105"/>
      <c r="L15" s="105"/>
      <c r="M15" s="105"/>
      <c r="N15" s="105"/>
      <c r="O15" s="105"/>
      <c r="P15" s="105"/>
      <c r="Q15" s="33"/>
    </row>
    <row r="16" spans="1:22" hidden="1" x14ac:dyDescent="0.35">
      <c r="A16" s="24" t="s">
        <v>5</v>
      </c>
      <c r="B16" s="37" t="s">
        <v>170</v>
      </c>
      <c r="C16" s="38"/>
      <c r="D16" s="37">
        <f t="shared" ref="D16:F17" si="1">D3</f>
        <v>3.7</v>
      </c>
      <c r="E16" s="37">
        <f t="shared" si="1"/>
        <v>3.7</v>
      </c>
      <c r="F16" s="37">
        <f t="shared" si="1"/>
        <v>3.7</v>
      </c>
      <c r="G16" s="38"/>
      <c r="H16" s="37">
        <f t="shared" ref="H16:J17" si="2">H3</f>
        <v>3.7</v>
      </c>
      <c r="I16" s="37">
        <f t="shared" si="2"/>
        <v>3.7</v>
      </c>
      <c r="J16" s="37">
        <f t="shared" si="2"/>
        <v>3.7</v>
      </c>
      <c r="K16" s="38"/>
      <c r="L16" s="37">
        <f>D3</f>
        <v>3.7</v>
      </c>
      <c r="M16" s="37">
        <f>M3</f>
        <v>3.7</v>
      </c>
      <c r="N16" s="37">
        <f>N3</f>
        <v>3.7</v>
      </c>
      <c r="O16" s="38"/>
      <c r="P16" s="37" t="str">
        <f>P3</f>
        <v>V</v>
      </c>
    </row>
    <row r="17" spans="1:17" hidden="1" x14ac:dyDescent="0.35">
      <c r="A17" s="24" t="s">
        <v>5</v>
      </c>
      <c r="B17" s="37" t="s">
        <v>0</v>
      </c>
      <c r="C17" s="38"/>
      <c r="D17" s="40">
        <f t="shared" si="1"/>
        <v>2.2000000000000001E-6</v>
      </c>
      <c r="E17" s="40">
        <f t="shared" si="1"/>
        <v>2.2000000000000001E-6</v>
      </c>
      <c r="F17" s="40">
        <f t="shared" si="1"/>
        <v>2.2000000000000001E-6</v>
      </c>
      <c r="G17" s="38"/>
      <c r="H17" s="40">
        <f t="shared" si="2"/>
        <v>2.2000000000000001E-6</v>
      </c>
      <c r="I17" s="40">
        <f t="shared" si="2"/>
        <v>2.2000000000000001E-6</v>
      </c>
      <c r="J17" s="40">
        <f t="shared" si="2"/>
        <v>2.2000000000000001E-6</v>
      </c>
      <c r="K17" s="38"/>
      <c r="L17" s="40">
        <f>D4</f>
        <v>2.2000000000000001E-6</v>
      </c>
      <c r="M17" s="40">
        <f>M4</f>
        <v>2.2000000000000001E-6</v>
      </c>
      <c r="N17" s="40">
        <f>N4</f>
        <v>2.2000000000000001E-6</v>
      </c>
      <c r="O17" s="38"/>
      <c r="P17" s="40" t="str">
        <f>P4</f>
        <v>H</v>
      </c>
    </row>
    <row r="18" spans="1:17" hidden="1" x14ac:dyDescent="0.35">
      <c r="A18" s="24" t="s">
        <v>5</v>
      </c>
      <c r="B18" s="37" t="s">
        <v>167</v>
      </c>
      <c r="C18" s="41"/>
      <c r="D18" s="42">
        <f>D12</f>
        <v>0.1</v>
      </c>
      <c r="E18" s="42">
        <f>E12</f>
        <v>0.1</v>
      </c>
      <c r="F18" s="42">
        <f>F12</f>
        <v>0.1</v>
      </c>
      <c r="G18" s="41"/>
      <c r="H18" s="42">
        <f>H12</f>
        <v>0.1</v>
      </c>
      <c r="I18" s="42">
        <f>I12</f>
        <v>0.1</v>
      </c>
      <c r="J18" s="42">
        <f>J12</f>
        <v>0.1</v>
      </c>
      <c r="K18" s="41"/>
      <c r="L18" s="42">
        <f>L12</f>
        <v>0.05</v>
      </c>
      <c r="M18" s="42">
        <f>M12</f>
        <v>0.05</v>
      </c>
      <c r="N18" s="42">
        <f>N12</f>
        <v>0.05</v>
      </c>
      <c r="O18" s="41"/>
      <c r="P18" s="42" t="str">
        <f>P12</f>
        <v>A</v>
      </c>
    </row>
    <row r="19" spans="1:17" x14ac:dyDescent="0.35">
      <c r="A19" s="13" t="s">
        <v>5</v>
      </c>
      <c r="B19" s="43" t="s">
        <v>165</v>
      </c>
      <c r="C19" s="15"/>
      <c r="D19" s="44">
        <f>D82</f>
        <v>0.25027222127478194</v>
      </c>
      <c r="E19" s="44">
        <f>E82</f>
        <v>0.251668136052622</v>
      </c>
      <c r="F19" s="44">
        <f>F82</f>
        <v>0.25307017237897345</v>
      </c>
      <c r="G19" s="15"/>
      <c r="H19" s="44">
        <f>H82</f>
        <v>0.27825140807898274</v>
      </c>
      <c r="I19" s="44">
        <f>I82</f>
        <v>0.28044683012683685</v>
      </c>
      <c r="J19" s="44">
        <f>J82</f>
        <v>0.28264606207906068</v>
      </c>
      <c r="K19" s="15"/>
      <c r="L19" s="44">
        <f>L82</f>
        <v>0.1753494425649412</v>
      </c>
      <c r="M19" s="44">
        <f>M82</f>
        <v>0.17741081185507154</v>
      </c>
      <c r="N19" s="44">
        <f>N82</f>
        <v>0.17947315307489761</v>
      </c>
      <c r="O19" s="15"/>
      <c r="P19" s="44" t="s">
        <v>34</v>
      </c>
      <c r="Q19" s="45" t="str">
        <f>Q82</f>
        <v>The percentage of the inductor's time that is occupied by the respective channel with specified i_out</v>
      </c>
    </row>
    <row r="20" spans="1:17" ht="43.5" x14ac:dyDescent="0.35">
      <c r="A20" s="13" t="s">
        <v>5</v>
      </c>
      <c r="B20" s="14" t="s">
        <v>166</v>
      </c>
      <c r="C20" s="15"/>
      <c r="D20" s="46">
        <f>SUM(L19,H19,D19)</f>
        <v>0.70387307191870585</v>
      </c>
      <c r="E20" s="46">
        <f>SUM(M19,I19,E19)</f>
        <v>0.70952577803453032</v>
      </c>
      <c r="F20" s="46">
        <f>SUM(N19,J19,F19)</f>
        <v>0.71518938753293171</v>
      </c>
      <c r="G20" s="15"/>
      <c r="H20" s="16" t="s">
        <v>22</v>
      </c>
      <c r="I20" s="16" t="s">
        <v>22</v>
      </c>
      <c r="J20" s="16" t="s">
        <v>22</v>
      </c>
      <c r="K20" s="15"/>
      <c r="L20" s="16" t="s">
        <v>22</v>
      </c>
      <c r="M20" s="16" t="s">
        <v>22</v>
      </c>
      <c r="N20" s="16" t="s">
        <v>22</v>
      </c>
      <c r="O20" s="15"/>
      <c r="P20" s="14" t="s">
        <v>34</v>
      </c>
      <c r="Q20" s="39" t="str">
        <f>Q83</f>
        <v>The capacity utilized by the SIMO.  This number should be kept at or below 80%.  This cell will color itself red if the value is more than 80%.  To reduce the utilization, increase the peak current limit (i_peak) and/or reduce the load (i_load) and/or increase the minimum input voltage.</v>
      </c>
    </row>
    <row r="21" spans="1:17" x14ac:dyDescent="0.35">
      <c r="A21" s="13" t="s">
        <v>5</v>
      </c>
      <c r="B21" s="43" t="s">
        <v>168</v>
      </c>
      <c r="C21" s="15"/>
      <c r="D21" s="48">
        <f t="shared" ref="D21:F22" si="3">D86</f>
        <v>117501.96218456961</v>
      </c>
      <c r="E21" s="48">
        <f t="shared" si="3"/>
        <v>120248.44277743845</v>
      </c>
      <c r="F21" s="48">
        <f t="shared" si="3"/>
        <v>122995.35683815365</v>
      </c>
      <c r="G21" s="15"/>
      <c r="H21" s="48">
        <f>H86</f>
        <v>171112.11150091706</v>
      </c>
      <c r="I21" s="48">
        <f>I86</f>
        <v>175239.0322836641</v>
      </c>
      <c r="J21" s="48">
        <f>J86</f>
        <v>179366.22374086396</v>
      </c>
      <c r="K21" s="15"/>
      <c r="L21" s="48">
        <f t="shared" ref="L21:N21" si="4">L86</f>
        <v>137256.28308303541</v>
      </c>
      <c r="M21" s="48">
        <f t="shared" si="4"/>
        <v>140664.34067924964</v>
      </c>
      <c r="N21" s="48">
        <f t="shared" si="4"/>
        <v>144072.45000258731</v>
      </c>
      <c r="O21" s="15"/>
      <c r="P21" s="47" t="str">
        <f>P86</f>
        <v>Hz</v>
      </c>
      <c r="Q21" s="39" t="str">
        <f>Q86</f>
        <v>Frequency at which each individual output is serviced to sustain I.OUT.  This is the frequency of the output voltage ripple. (Normal Power Mode only)</v>
      </c>
    </row>
    <row r="22" spans="1:17" ht="72.5" x14ac:dyDescent="0.35">
      <c r="A22" s="13" t="s">
        <v>5</v>
      </c>
      <c r="B22" s="14" t="s">
        <v>169</v>
      </c>
      <c r="C22" s="15"/>
      <c r="D22" s="18">
        <f t="shared" si="3"/>
        <v>425870.35676852212</v>
      </c>
      <c r="E22" s="18">
        <f t="shared" si="3"/>
        <v>436151.81574035215</v>
      </c>
      <c r="F22" s="18">
        <f t="shared" si="3"/>
        <v>446434.03058160492</v>
      </c>
      <c r="G22" s="15"/>
      <c r="H22" s="16" t="s">
        <v>22</v>
      </c>
      <c r="I22" s="16" t="s">
        <v>22</v>
      </c>
      <c r="J22" s="16" t="s">
        <v>22</v>
      </c>
      <c r="K22" s="15"/>
      <c r="L22" s="16" t="s">
        <v>22</v>
      </c>
      <c r="M22" s="16" t="s">
        <v>22</v>
      </c>
      <c r="N22" s="16" t="s">
        <v>22</v>
      </c>
      <c r="O22" s="15"/>
      <c r="P22" s="18" t="str">
        <f>P87</f>
        <v>Hz</v>
      </c>
      <c r="Q22" s="39" t="str">
        <f>Q87</f>
        <v>Total cycles as seen by the inductor for the specified i_out values.  When choosing an inductor make sure that the AC-resistance is low at this frequency.  It difficult and rare but possible to get the switching frequency as high as 6MHz.  These high frequency configurations should be avoided as they exhibit poor efficiency.  Ideally the switching frequency should be in the 2MHz region.  This cell will highlight itself red if the switching frequency is more than 2.5MHz.  In this case, please consider using higher inductance values and higher input current limit values to bring the switching frequency down.</v>
      </c>
    </row>
    <row r="23" spans="1:17" x14ac:dyDescent="0.35">
      <c r="A23" s="13" t="s">
        <v>5</v>
      </c>
      <c r="B23" s="43" t="s">
        <v>163</v>
      </c>
      <c r="C23" s="15"/>
      <c r="D23" s="43">
        <f>v_out</f>
        <v>1.17</v>
      </c>
      <c r="E23" s="43">
        <f>v_out</f>
        <v>1.2</v>
      </c>
      <c r="F23" s="43">
        <f>v_out</f>
        <v>1.2299999999999998</v>
      </c>
      <c r="G23" s="15"/>
      <c r="H23" s="43">
        <f>v_out</f>
        <v>1.7549999999999999</v>
      </c>
      <c r="I23" s="43">
        <f>v_out</f>
        <v>1.8</v>
      </c>
      <c r="J23" s="43">
        <f>v_out</f>
        <v>1.845</v>
      </c>
      <c r="K23" s="15"/>
      <c r="L23" s="43">
        <f>v_out</f>
        <v>3.2174999999999998</v>
      </c>
      <c r="M23" s="43">
        <f>v_out</f>
        <v>3.3</v>
      </c>
      <c r="N23" s="43">
        <f>v_out</f>
        <v>3.3824999999999994</v>
      </c>
      <c r="O23" s="15"/>
      <c r="P23" s="43" t="s">
        <v>1</v>
      </c>
      <c r="Q23" s="39" t="str">
        <f>Q11</f>
        <v>Output Voltage.</v>
      </c>
    </row>
    <row r="24" spans="1:17" x14ac:dyDescent="0.35">
      <c r="A24" s="13" t="s">
        <v>5</v>
      </c>
      <c r="B24" s="43" t="s">
        <v>159</v>
      </c>
      <c r="C24" s="15"/>
      <c r="D24" s="47">
        <f>D91</f>
        <v>1.5213903487103308E-2</v>
      </c>
      <c r="E24" s="47">
        <f>E91</f>
        <v>1.5213903487103308E-2</v>
      </c>
      <c r="F24" s="47">
        <f>F91</f>
        <v>1.5213903487103308E-2</v>
      </c>
      <c r="G24" s="15"/>
      <c r="H24" s="47">
        <f>H91</f>
        <v>1.5213903487103308E-2</v>
      </c>
      <c r="I24" s="47">
        <f>I91</f>
        <v>1.5213903487103308E-2</v>
      </c>
      <c r="J24" s="47">
        <f>J91</f>
        <v>1.5213903487103308E-2</v>
      </c>
      <c r="K24" s="15"/>
      <c r="L24" s="47">
        <f>L91</f>
        <v>7.6069517435516541E-3</v>
      </c>
      <c r="M24" s="47">
        <f>M91</f>
        <v>7.3569517435516547E-3</v>
      </c>
      <c r="N24" s="47">
        <f>N91</f>
        <v>7.3569517435516547E-3</v>
      </c>
      <c r="O24" s="15"/>
      <c r="P24" s="43" t="s">
        <v>1</v>
      </c>
      <c r="Q24" s="39" t="s">
        <v>175</v>
      </c>
    </row>
    <row r="25" spans="1:17" x14ac:dyDescent="0.35">
      <c r="A25" s="13" t="s">
        <v>5</v>
      </c>
      <c r="B25" s="43" t="s">
        <v>172</v>
      </c>
      <c r="C25" s="15"/>
      <c r="D25" s="48">
        <f>D98</f>
        <v>0.10026332203021759</v>
      </c>
      <c r="E25" s="48">
        <f>E98</f>
        <v>9.8143496773690275E-2</v>
      </c>
      <c r="F25" s="48">
        <f>F98</f>
        <v>9.6107370432701344E-2</v>
      </c>
      <c r="G25" s="15"/>
      <c r="H25" s="48">
        <f>H98</f>
        <v>7.0262916501020456E-2</v>
      </c>
      <c r="I25" s="48">
        <f>I98</f>
        <v>6.8665668160019733E-2</v>
      </c>
      <c r="J25" s="48">
        <f>J98</f>
        <v>6.713794949821783E-2</v>
      </c>
      <c r="K25" s="15"/>
      <c r="L25" s="48">
        <f>L98</f>
        <v>3.9856494487845229E-2</v>
      </c>
      <c r="M25" s="48">
        <f>M98</f>
        <v>3.8901612167309363E-2</v>
      </c>
      <c r="N25" s="48">
        <f>N98</f>
        <v>3.799113787000552E-2</v>
      </c>
      <c r="O25" s="15"/>
      <c r="P25" s="43" t="s">
        <v>1</v>
      </c>
      <c r="Q25" s="39" t="str">
        <f>Q76</f>
        <v>Output voltage ripple per switching cycle with no load</v>
      </c>
    </row>
    <row r="26" spans="1:17" x14ac:dyDescent="0.35">
      <c r="A26" s="13" t="s">
        <v>5</v>
      </c>
      <c r="B26" s="25" t="s">
        <v>173</v>
      </c>
      <c r="C26" s="15"/>
      <c r="D26" s="49">
        <f>D77</f>
        <v>8.2216279461903241E-2</v>
      </c>
      <c r="E26" s="49">
        <f>E77</f>
        <v>8.0463503661178493E-2</v>
      </c>
      <c r="F26" s="49">
        <f>F77</f>
        <v>7.8780940471580019E-2</v>
      </c>
      <c r="G26" s="15"/>
      <c r="H26" s="49">
        <f>H77</f>
        <v>5.7499288512590896E-2</v>
      </c>
      <c r="I26" s="49">
        <f>I77</f>
        <v>5.6187944174601379E-2</v>
      </c>
      <c r="J26" s="49">
        <f>J77</f>
        <v>5.4934038635281235E-2</v>
      </c>
      <c r="K26" s="15"/>
      <c r="L26" s="49">
        <f>L77</f>
        <v>3.6224288925812864E-2</v>
      </c>
      <c r="M26" s="49">
        <f>M77</f>
        <v>3.5356208208218387E-2</v>
      </c>
      <c r="N26" s="49">
        <f>N77</f>
        <v>3.4528527945497434E-2</v>
      </c>
      <c r="O26" s="22"/>
      <c r="P26" s="43" t="s">
        <v>1</v>
      </c>
      <c r="Q26" s="50" t="str">
        <f>Q77</f>
        <v>Output voltage ripple per switching cycle when loaded with i_out</v>
      </c>
    </row>
    <row r="27" spans="1:17" x14ac:dyDescent="0.35">
      <c r="A27" s="13" t="s">
        <v>5</v>
      </c>
      <c r="B27" s="43" t="s">
        <v>160</v>
      </c>
      <c r="C27" s="15"/>
      <c r="D27" s="51">
        <f>D97</f>
        <v>3.4006322500834484E-2</v>
      </c>
      <c r="E27" s="51">
        <f>E97</f>
        <v>3.3508865789181497E-2</v>
      </c>
      <c r="F27" s="51">
        <f>F97</f>
        <v>3.303490270358702E-2</v>
      </c>
      <c r="G27" s="15"/>
      <c r="H27" s="51">
        <f>H96</f>
        <v>4.0232505299577316E-2</v>
      </c>
      <c r="I27" s="51">
        <f>I96</f>
        <v>3.9594125719888101E-2</v>
      </c>
      <c r="J27" s="51">
        <f>J96</f>
        <v>3.8985478561340596E-2</v>
      </c>
      <c r="K27" s="15"/>
      <c r="L27" s="51">
        <f>L95</f>
        <v>2.3055212406463854E-2</v>
      </c>
      <c r="M27" s="51">
        <f>M95</f>
        <v>2.2667004358234519E-2</v>
      </c>
      <c r="N27" s="51">
        <f>N95</f>
        <v>2.229683010060881E-2</v>
      </c>
      <c r="O27" s="15"/>
      <c r="P27" s="43" t="s">
        <v>1</v>
      </c>
      <c r="Q27" s="52" t="str">
        <f>Q98</f>
        <v>Peak output voltage ripple with no load.</v>
      </c>
    </row>
    <row r="28" spans="1:17" x14ac:dyDescent="0.35">
      <c r="A28" s="13" t="s">
        <v>5</v>
      </c>
      <c r="B28" s="43" t="s">
        <v>161</v>
      </c>
      <c r="C28" s="15"/>
      <c r="D28" s="53">
        <f>D23+D25</f>
        <v>1.2702633220302175</v>
      </c>
      <c r="E28" s="53">
        <f>E23+E25</f>
        <v>1.2981434967736902</v>
      </c>
      <c r="F28" s="53">
        <f>F23+F25</f>
        <v>1.3261073704327011</v>
      </c>
      <c r="G28" s="15"/>
      <c r="H28" s="53">
        <f>H23+H25</f>
        <v>1.8252629165010203</v>
      </c>
      <c r="I28" s="53">
        <f>I23+I25</f>
        <v>1.8686656681600198</v>
      </c>
      <c r="J28" s="53">
        <f>J23+J25</f>
        <v>1.9121379494982178</v>
      </c>
      <c r="K28" s="15"/>
      <c r="L28" s="53">
        <f>L23+L25</f>
        <v>3.257356494487845</v>
      </c>
      <c r="M28" s="53">
        <f>M23+M25</f>
        <v>3.3389016121673092</v>
      </c>
      <c r="N28" s="53">
        <f>N23+N25</f>
        <v>3.4204911378700049</v>
      </c>
      <c r="O28" s="15"/>
      <c r="P28" s="43" t="s">
        <v>1</v>
      </c>
      <c r="Q28" s="39" t="str">
        <f>Q104</f>
        <v>Maximum output voltage (Normal Power Mode only)</v>
      </c>
    </row>
    <row r="29" spans="1:17" x14ac:dyDescent="0.35">
      <c r="A29" s="13" t="s">
        <v>5</v>
      </c>
      <c r="B29" s="43" t="s">
        <v>162</v>
      </c>
      <c r="C29" s="15"/>
      <c r="D29" s="53">
        <f>D23-D24-D27</f>
        <v>1.1207797740120622</v>
      </c>
      <c r="E29" s="53">
        <f>E23-E24-E27</f>
        <v>1.1512772307237151</v>
      </c>
      <c r="F29" s="53">
        <f>F23-F24-F27</f>
        <v>1.1817511938093095</v>
      </c>
      <c r="G29" s="15"/>
      <c r="H29" s="53">
        <f>H23-H24-H27</f>
        <v>1.6995535912133193</v>
      </c>
      <c r="I29" s="53">
        <f>I23-I24-I27</f>
        <v>1.7451919707930086</v>
      </c>
      <c r="J29" s="53">
        <f>J23-J24-J27</f>
        <v>1.7908006179515561</v>
      </c>
      <c r="K29" s="15"/>
      <c r="L29" s="53">
        <f>L23-L24-L27</f>
        <v>3.1868378358499845</v>
      </c>
      <c r="M29" s="53">
        <f>M23-M24-M27</f>
        <v>3.2699760438982137</v>
      </c>
      <c r="N29" s="53">
        <f>N23-N24-N27</f>
        <v>3.3528462181558387</v>
      </c>
      <c r="O29" s="15"/>
      <c r="P29" s="43" t="s">
        <v>1</v>
      </c>
      <c r="Q29" s="39" t="str">
        <f>Q105</f>
        <v>Minimum output voltage (Normal Power Mode only)</v>
      </c>
    </row>
    <row r="30" spans="1:17" x14ac:dyDescent="0.35">
      <c r="A30" s="13"/>
      <c r="B30" s="25"/>
      <c r="C30" s="15"/>
      <c r="D30" s="31"/>
      <c r="E30" s="31"/>
      <c r="F30" s="31"/>
      <c r="G30" s="30"/>
      <c r="H30" s="31"/>
      <c r="I30" s="31"/>
      <c r="J30" s="31"/>
      <c r="K30" s="30"/>
      <c r="L30" s="14"/>
      <c r="M30" s="14"/>
      <c r="N30" s="14"/>
      <c r="O30" s="22"/>
      <c r="P30" s="25"/>
    </row>
    <row r="31" spans="1:17" hidden="1" x14ac:dyDescent="0.35">
      <c r="A31" s="54"/>
      <c r="B31" s="34" t="s">
        <v>76</v>
      </c>
      <c r="C31" s="35"/>
      <c r="D31" s="33"/>
      <c r="E31" s="33"/>
      <c r="F31" s="33"/>
      <c r="G31" s="36"/>
      <c r="H31" s="33"/>
      <c r="I31" s="33"/>
      <c r="J31" s="33"/>
      <c r="K31" s="36"/>
      <c r="L31" s="33"/>
      <c r="M31" s="33"/>
      <c r="N31" s="33"/>
      <c r="O31" s="36"/>
      <c r="P31" s="33"/>
      <c r="Q31" s="33"/>
    </row>
    <row r="32" spans="1:17" hidden="1" x14ac:dyDescent="0.35">
      <c r="A32" s="24" t="s">
        <v>10</v>
      </c>
      <c r="B32" s="14" t="s">
        <v>42</v>
      </c>
      <c r="C32" s="15"/>
      <c r="D32" s="19">
        <f>$L$32</f>
        <v>8.5000000000000001E-7</v>
      </c>
      <c r="E32" s="19">
        <f>$L$32</f>
        <v>8.5000000000000001E-7</v>
      </c>
      <c r="F32" s="19">
        <f>$L$32</f>
        <v>8.5000000000000001E-7</v>
      </c>
      <c r="G32" s="22"/>
      <c r="H32" s="19">
        <f>$L$32</f>
        <v>8.5000000000000001E-7</v>
      </c>
      <c r="I32" s="19">
        <f>$L$32</f>
        <v>8.5000000000000001E-7</v>
      </c>
      <c r="J32" s="19">
        <f>$L$32</f>
        <v>8.5000000000000001E-7</v>
      </c>
      <c r="K32" s="22"/>
      <c r="L32" s="18">
        <v>8.5000000000000001E-7</v>
      </c>
      <c r="M32" s="19">
        <v>7.9999999999999996E-7</v>
      </c>
      <c r="N32" s="19">
        <v>7.9999999999999996E-7</v>
      </c>
      <c r="O32" s="22"/>
      <c r="P32" s="14" t="s">
        <v>17</v>
      </c>
      <c r="Q32" s="17" t="s">
        <v>182</v>
      </c>
    </row>
    <row r="33" spans="1:17" s="57" customFormat="1" hidden="1" x14ac:dyDescent="0.35">
      <c r="A33" s="24" t="s">
        <v>10</v>
      </c>
      <c r="B33" s="14" t="s">
        <v>78</v>
      </c>
      <c r="C33" s="15"/>
      <c r="D33" s="19">
        <f>$L$33</f>
        <v>7.5999999999999998E-2</v>
      </c>
      <c r="E33" s="19">
        <f>$L$33</f>
        <v>7.5999999999999998E-2</v>
      </c>
      <c r="F33" s="19">
        <f>$L$33</f>
        <v>7.5999999999999998E-2</v>
      </c>
      <c r="G33" s="22"/>
      <c r="H33" s="19">
        <f>$L$33</f>
        <v>7.5999999999999998E-2</v>
      </c>
      <c r="I33" s="19">
        <f>$L$33</f>
        <v>7.5999999999999998E-2</v>
      </c>
      <c r="J33" s="19">
        <f>$L$33</f>
        <v>7.5999999999999998E-2</v>
      </c>
      <c r="K33" s="22"/>
      <c r="L33" s="55">
        <v>7.5999999999999998E-2</v>
      </c>
      <c r="M33" s="19">
        <f>$L$33</f>
        <v>7.5999999999999998E-2</v>
      </c>
      <c r="N33" s="19">
        <f>$L$33</f>
        <v>7.5999999999999998E-2</v>
      </c>
      <c r="O33" s="56"/>
      <c r="P33" s="23" t="s">
        <v>9</v>
      </c>
      <c r="Q33" s="17" t="s">
        <v>119</v>
      </c>
    </row>
    <row r="34" spans="1:17" hidden="1" x14ac:dyDescent="0.35">
      <c r="A34" s="24" t="s">
        <v>10</v>
      </c>
      <c r="B34" s="14" t="s">
        <v>43</v>
      </c>
      <c r="C34" s="15"/>
      <c r="D34" s="19">
        <f>$L$34</f>
        <v>4.87E-2</v>
      </c>
      <c r="E34" s="19">
        <f>$L$34</f>
        <v>4.87E-2</v>
      </c>
      <c r="F34" s="19">
        <f>$L$34</f>
        <v>4.87E-2</v>
      </c>
      <c r="G34" s="22"/>
      <c r="H34" s="19">
        <f>$L$34</f>
        <v>4.87E-2</v>
      </c>
      <c r="I34" s="19">
        <f>$L$34</f>
        <v>4.87E-2</v>
      </c>
      <c r="J34" s="19">
        <f>$L$34</f>
        <v>4.87E-2</v>
      </c>
      <c r="K34" s="22"/>
      <c r="L34" s="55">
        <v>4.87E-2</v>
      </c>
      <c r="M34" s="19">
        <f>$L$34</f>
        <v>4.87E-2</v>
      </c>
      <c r="N34" s="19">
        <f>$L$34</f>
        <v>4.87E-2</v>
      </c>
      <c r="O34" s="22"/>
      <c r="P34" s="23" t="s">
        <v>9</v>
      </c>
      <c r="Q34" s="17" t="s">
        <v>120</v>
      </c>
    </row>
    <row r="35" spans="1:17" hidden="1" x14ac:dyDescent="0.35">
      <c r="A35" s="24" t="s">
        <v>10</v>
      </c>
      <c r="B35" s="14" t="s">
        <v>44</v>
      </c>
      <c r="C35" s="15"/>
      <c r="D35" s="19">
        <f>$L$35</f>
        <v>5.5E-2</v>
      </c>
      <c r="E35" s="19">
        <f>$L$35</f>
        <v>5.5E-2</v>
      </c>
      <c r="F35" s="19">
        <f>$L$35</f>
        <v>5.5E-2</v>
      </c>
      <c r="G35" s="22"/>
      <c r="H35" s="19">
        <f>$L$35</f>
        <v>5.5E-2</v>
      </c>
      <c r="I35" s="19">
        <f>$L$35</f>
        <v>5.5E-2</v>
      </c>
      <c r="J35" s="19">
        <f>$L$35</f>
        <v>5.5E-2</v>
      </c>
      <c r="K35" s="22"/>
      <c r="L35" s="55">
        <v>5.5E-2</v>
      </c>
      <c r="M35" s="19">
        <f>$L$35</f>
        <v>5.5E-2</v>
      </c>
      <c r="N35" s="19">
        <f>$L$35</f>
        <v>5.5E-2</v>
      </c>
      <c r="O35" s="22"/>
      <c r="P35" s="23" t="s">
        <v>9</v>
      </c>
      <c r="Q35" s="17" t="s">
        <v>121</v>
      </c>
    </row>
    <row r="36" spans="1:17" s="57" customFormat="1" hidden="1" x14ac:dyDescent="0.35">
      <c r="A36" s="24" t="s">
        <v>10</v>
      </c>
      <c r="B36" s="14" t="s">
        <v>81</v>
      </c>
      <c r="C36" s="15"/>
      <c r="D36" s="19">
        <f>$L$36</f>
        <v>6.2700000000000006E-2</v>
      </c>
      <c r="E36" s="19">
        <f>$L$36</f>
        <v>6.2700000000000006E-2</v>
      </c>
      <c r="F36" s="19">
        <f>$L$36</f>
        <v>6.2700000000000006E-2</v>
      </c>
      <c r="G36" s="22"/>
      <c r="H36" s="19">
        <f>$L$36</f>
        <v>6.2700000000000006E-2</v>
      </c>
      <c r="I36" s="19">
        <f>$L$36</f>
        <v>6.2700000000000006E-2</v>
      </c>
      <c r="J36" s="19">
        <f>$L$36</f>
        <v>6.2700000000000006E-2</v>
      </c>
      <c r="K36" s="22"/>
      <c r="L36" s="55">
        <v>6.2700000000000006E-2</v>
      </c>
      <c r="M36" s="19">
        <f>$L$36</f>
        <v>6.2700000000000006E-2</v>
      </c>
      <c r="N36" s="19">
        <f>$L$36</f>
        <v>6.2700000000000006E-2</v>
      </c>
      <c r="O36" s="56"/>
      <c r="P36" s="23" t="s">
        <v>9</v>
      </c>
      <c r="Q36" s="17" t="s">
        <v>122</v>
      </c>
    </row>
    <row r="37" spans="1:17" s="57" customFormat="1" hidden="1" x14ac:dyDescent="0.35">
      <c r="A37" s="24" t="s">
        <v>10</v>
      </c>
      <c r="B37" s="25" t="s">
        <v>133</v>
      </c>
      <c r="C37" s="30"/>
      <c r="D37" s="58">
        <f>$L$37</f>
        <v>5</v>
      </c>
      <c r="E37" s="58">
        <f>$L$37</f>
        <v>5</v>
      </c>
      <c r="F37" s="58">
        <f>$L$37</f>
        <v>5</v>
      </c>
      <c r="G37" s="59"/>
      <c r="H37" s="58">
        <f>$L$37</f>
        <v>5</v>
      </c>
      <c r="I37" s="58">
        <f>$L$37</f>
        <v>5</v>
      </c>
      <c r="J37" s="58">
        <f>$L$37</f>
        <v>5</v>
      </c>
      <c r="K37" s="59"/>
      <c r="L37" s="58">
        <v>5</v>
      </c>
      <c r="M37" s="58">
        <v>5</v>
      </c>
      <c r="N37" s="58">
        <v>5</v>
      </c>
      <c r="O37" s="56"/>
      <c r="P37" s="60" t="s">
        <v>127</v>
      </c>
      <c r="Q37" s="17" t="s">
        <v>129</v>
      </c>
    </row>
    <row r="38" spans="1:17" s="57" customFormat="1" hidden="1" x14ac:dyDescent="0.35">
      <c r="A38" s="24" t="s">
        <v>10</v>
      </c>
      <c r="B38" s="25" t="s">
        <v>146</v>
      </c>
      <c r="C38" s="30"/>
      <c r="D38" s="58">
        <v>0.47499999999999998</v>
      </c>
      <c r="E38" s="58">
        <v>0.47499999999999998</v>
      </c>
      <c r="F38" s="58">
        <v>0.47499999999999998</v>
      </c>
      <c r="G38" s="59"/>
      <c r="H38" s="58">
        <v>0.47499999999999998</v>
      </c>
      <c r="I38" s="58">
        <v>0.47499999999999998</v>
      </c>
      <c r="J38" s="58">
        <v>0.47499999999999998</v>
      </c>
      <c r="K38" s="59"/>
      <c r="L38" s="58">
        <v>0.47499999999999998</v>
      </c>
      <c r="M38" s="58">
        <v>0.47499999999999998</v>
      </c>
      <c r="N38" s="58">
        <v>0.47499999999999998</v>
      </c>
      <c r="O38" s="56"/>
      <c r="P38" s="60" t="s">
        <v>7</v>
      </c>
      <c r="Q38" s="17" t="s">
        <v>174</v>
      </c>
    </row>
    <row r="39" spans="1:17" s="57" customFormat="1" hidden="1" x14ac:dyDescent="0.35">
      <c r="A39" s="24" t="s">
        <v>5</v>
      </c>
      <c r="B39" s="25" t="s">
        <v>126</v>
      </c>
      <c r="C39" s="30"/>
      <c r="D39" s="58">
        <f>D37*1000000/1000</f>
        <v>5000</v>
      </c>
      <c r="E39" s="58">
        <f>E37*1000000/1000</f>
        <v>5000</v>
      </c>
      <c r="F39" s="58">
        <f>F37*1000000/1000</f>
        <v>5000</v>
      </c>
      <c r="G39" s="59"/>
      <c r="H39" s="58">
        <f>H37*1000000/1000</f>
        <v>5000</v>
      </c>
      <c r="I39" s="58">
        <f>I37*1000000/1000</f>
        <v>5000</v>
      </c>
      <c r="J39" s="58">
        <f>J37*1000000/1000</f>
        <v>5000</v>
      </c>
      <c r="K39" s="59"/>
      <c r="L39" s="58">
        <f t="shared" ref="L39:N39" si="5">L37*1000000/1000</f>
        <v>5000</v>
      </c>
      <c r="M39" s="58">
        <f t="shared" si="5"/>
        <v>5000</v>
      </c>
      <c r="N39" s="58">
        <f t="shared" si="5"/>
        <v>5000</v>
      </c>
      <c r="O39" s="56"/>
      <c r="P39" s="60" t="s">
        <v>128</v>
      </c>
      <c r="Q39" s="17" t="s">
        <v>130</v>
      </c>
    </row>
    <row r="40" spans="1:17" s="57" customFormat="1" ht="14.5" hidden="1" customHeight="1" x14ac:dyDescent="0.35">
      <c r="A40" s="24" t="s">
        <v>138</v>
      </c>
      <c r="B40" s="25" t="s">
        <v>136</v>
      </c>
      <c r="C40" s="30"/>
      <c r="D40" s="61">
        <v>0.8</v>
      </c>
      <c r="E40" s="61">
        <v>0.8</v>
      </c>
      <c r="F40" s="61">
        <v>0.8</v>
      </c>
      <c r="G40" s="62"/>
      <c r="H40" s="61">
        <v>0.8</v>
      </c>
      <c r="I40" s="61">
        <v>0.8</v>
      </c>
      <c r="J40" s="61">
        <v>0.8</v>
      </c>
      <c r="K40" s="62"/>
      <c r="L40" s="61">
        <v>0.8</v>
      </c>
      <c r="M40" s="61">
        <v>0.8</v>
      </c>
      <c r="N40" s="61">
        <v>0.8</v>
      </c>
      <c r="O40" s="56"/>
      <c r="P40" s="60" t="s">
        <v>137</v>
      </c>
      <c r="Q40" s="17" t="s">
        <v>139</v>
      </c>
    </row>
    <row r="41" spans="1:17" s="57" customFormat="1" hidden="1" x14ac:dyDescent="0.35">
      <c r="A41" s="24"/>
      <c r="B41" s="25"/>
      <c r="C41" s="30"/>
      <c r="D41" s="58"/>
      <c r="E41" s="58"/>
      <c r="F41" s="58"/>
      <c r="G41" s="59"/>
      <c r="H41" s="58"/>
      <c r="I41" s="58"/>
      <c r="J41" s="58"/>
      <c r="K41" s="59"/>
      <c r="L41" s="58"/>
      <c r="M41" s="58"/>
      <c r="N41" s="58"/>
      <c r="O41" s="56"/>
      <c r="P41" s="60"/>
      <c r="Q41" s="32"/>
    </row>
    <row r="42" spans="1:17" s="57" customFormat="1" x14ac:dyDescent="0.35">
      <c r="A42" s="105"/>
      <c r="B42" s="106" t="s">
        <v>135</v>
      </c>
      <c r="C42" s="105"/>
      <c r="D42" s="105"/>
      <c r="E42" s="105"/>
      <c r="F42" s="105"/>
      <c r="G42" s="105"/>
      <c r="H42" s="105"/>
      <c r="I42" s="105"/>
      <c r="J42" s="105"/>
      <c r="K42" s="105"/>
      <c r="L42" s="105"/>
      <c r="M42" s="105"/>
      <c r="N42" s="105"/>
      <c r="O42" s="105"/>
      <c r="P42" s="105"/>
      <c r="Q42" s="33"/>
    </row>
    <row r="43" spans="1:17" s="57" customFormat="1" hidden="1" x14ac:dyDescent="0.35">
      <c r="A43" s="24" t="s">
        <v>5</v>
      </c>
      <c r="B43" s="25" t="s">
        <v>131</v>
      </c>
      <c r="C43" s="30"/>
      <c r="D43" s="58">
        <f>v_out/dV_dtss</f>
        <v>2.34E-4</v>
      </c>
      <c r="E43" s="58">
        <f>v_out/dV_dtss</f>
        <v>2.3999999999999998E-4</v>
      </c>
      <c r="F43" s="58">
        <f>v_out/dV_dtss</f>
        <v>2.4599999999999996E-4</v>
      </c>
      <c r="G43" s="59"/>
      <c r="H43" s="58">
        <f>v_out/dV_dtss</f>
        <v>3.5099999999999997E-4</v>
      </c>
      <c r="I43" s="58">
        <f>v_out/dV_dtss</f>
        <v>3.6000000000000002E-4</v>
      </c>
      <c r="J43" s="58">
        <f>v_out/dV_dtss</f>
        <v>3.6899999999999997E-4</v>
      </c>
      <c r="K43" s="59"/>
      <c r="L43" s="58">
        <f>v_out/dV_dtss</f>
        <v>6.4349999999999997E-4</v>
      </c>
      <c r="M43" s="58">
        <f>v_out/dV_dtss</f>
        <v>6.6E-4</v>
      </c>
      <c r="N43" s="58">
        <f>v_out/dV_dtss</f>
        <v>6.7649999999999991E-4</v>
      </c>
      <c r="O43" s="56"/>
      <c r="P43" s="60" t="s">
        <v>17</v>
      </c>
      <c r="Q43" s="17" t="s">
        <v>132</v>
      </c>
    </row>
    <row r="44" spans="1:17" s="57" customFormat="1" hidden="1" x14ac:dyDescent="0.35">
      <c r="A44" s="24" t="s">
        <v>5</v>
      </c>
      <c r="B44" s="25" t="s">
        <v>134</v>
      </c>
      <c r="C44" s="30"/>
      <c r="D44" s="58">
        <f>c_out_effective*dV_dtss</f>
        <v>0.05</v>
      </c>
      <c r="E44" s="58">
        <f>c_out_effective*dV_dtss</f>
        <v>0.05</v>
      </c>
      <c r="F44" s="58">
        <f>c_out_effective*dV_dtss</f>
        <v>0.05</v>
      </c>
      <c r="G44" s="59"/>
      <c r="H44" s="58">
        <f>c_out_effective*dV_dtss</f>
        <v>0.05</v>
      </c>
      <c r="I44" s="58">
        <f>c_out_effective*dV_dtss</f>
        <v>0.05</v>
      </c>
      <c r="J44" s="58">
        <f>c_out_effective*dV_dtss</f>
        <v>0.05</v>
      </c>
      <c r="K44" s="59"/>
      <c r="L44" s="58">
        <f>c_out_effective*dV_dtss</f>
        <v>0.05</v>
      </c>
      <c r="M44" s="58">
        <f>c_out_effective*dV_dtss</f>
        <v>0.05</v>
      </c>
      <c r="N44" s="58">
        <f>c_out_effective*dV_dtss</f>
        <v>0.05</v>
      </c>
      <c r="O44" s="56"/>
      <c r="P44" s="60" t="s">
        <v>7</v>
      </c>
      <c r="Q44" s="17" t="s">
        <v>147</v>
      </c>
    </row>
    <row r="45" spans="1:17" s="57" customFormat="1" ht="49.15" hidden="1" customHeight="1" x14ac:dyDescent="0.35">
      <c r="A45" s="24" t="s">
        <v>5</v>
      </c>
      <c r="B45" s="25" t="s">
        <v>148</v>
      </c>
      <c r="C45" s="30"/>
      <c r="D45" s="58">
        <f>(v_out*i_c_out_tss)/(v_in*efficiency)</f>
        <v>1.9763513513513509E-2</v>
      </c>
      <c r="E45" s="58">
        <f>(v_out*i_c_out_tss)/(v_in*efficiency)</f>
        <v>2.0270270270270268E-2</v>
      </c>
      <c r="F45" s="58">
        <f>(v_out*i_c_out_tss)/(v_in*efficiency)</f>
        <v>2.0777027027027023E-2</v>
      </c>
      <c r="G45" s="59"/>
      <c r="H45" s="58">
        <f>(v_out*i_c_out_tss)/(v_in*efficiency)</f>
        <v>2.9645270270270266E-2</v>
      </c>
      <c r="I45" s="58">
        <f>(v_out*i_c_out_tss)/(v_in*efficiency)</f>
        <v>3.0405405405405404E-2</v>
      </c>
      <c r="J45" s="58">
        <f>(v_out*i_c_out_tss)/(v_in*efficiency)</f>
        <v>3.1165540540540534E-2</v>
      </c>
      <c r="K45" s="59"/>
      <c r="L45" s="58">
        <f>(v_out*i_c_out_tss)/(v_in*efficiency)</f>
        <v>5.4349662162162152E-2</v>
      </c>
      <c r="M45" s="58">
        <f>(v_out*i_c_out_tss)/(v_in*efficiency)</f>
        <v>5.5743243243243236E-2</v>
      </c>
      <c r="N45" s="58">
        <f>(v_out*i_c_out_tss)/(v_in*efficiency)</f>
        <v>5.7136824324324306E-2</v>
      </c>
      <c r="O45" s="56"/>
      <c r="P45" s="60" t="s">
        <v>7</v>
      </c>
      <c r="Q45" s="17" t="s">
        <v>151</v>
      </c>
    </row>
    <row r="46" spans="1:17" s="57" customFormat="1" ht="29" hidden="1" x14ac:dyDescent="0.35">
      <c r="A46" s="24" t="s">
        <v>5</v>
      </c>
      <c r="B46" s="25" t="s">
        <v>149</v>
      </c>
      <c r="C46" s="30"/>
      <c r="D46" s="58">
        <f>(v_out*i_c_out_tss)/(4.5*efficiency)</f>
        <v>1.6249999999999997E-2</v>
      </c>
      <c r="E46" s="58">
        <f>(v_out*i_c_out_tss)/(4.5*efficiency)</f>
        <v>1.6666666666666666E-2</v>
      </c>
      <c r="F46" s="58">
        <f>(v_out*i_c_out_tss)/(4.5*efficiency)</f>
        <v>1.7083333333333332E-2</v>
      </c>
      <c r="G46" s="59"/>
      <c r="H46" s="58">
        <f>(v_out*i_c_out_tss)/(4.5*efficiency)</f>
        <v>2.4374999999999997E-2</v>
      </c>
      <c r="I46" s="58">
        <f>(v_out*i_c_out_tss)/(4.5*efficiency)</f>
        <v>2.5000000000000001E-2</v>
      </c>
      <c r="J46" s="58">
        <f>(v_out*i_c_out_tss)/(4.5*efficiency)</f>
        <v>2.5624999999999998E-2</v>
      </c>
      <c r="K46" s="59"/>
      <c r="L46" s="58">
        <f>(v_out*i_c_out_tss)/(4.5*efficiency)</f>
        <v>4.4687499999999998E-2</v>
      </c>
      <c r="M46" s="58">
        <f>(v_out*i_c_out_tss)/(4.5*efficiency)</f>
        <v>4.5833333333333337E-2</v>
      </c>
      <c r="N46" s="58">
        <f>(v_out*i_c_out_tss)/(4.5*efficiency)</f>
        <v>4.6979166666666655E-2</v>
      </c>
      <c r="O46" s="56"/>
      <c r="P46" s="60" t="s">
        <v>7</v>
      </c>
      <c r="Q46" s="17" t="s">
        <v>150</v>
      </c>
    </row>
    <row r="47" spans="1:17" s="57" customFormat="1" hidden="1" x14ac:dyDescent="0.35">
      <c r="A47" s="24" t="s">
        <v>5</v>
      </c>
      <c r="B47" s="25" t="s">
        <v>152</v>
      </c>
      <c r="C47" s="30"/>
      <c r="D47" s="58">
        <f>(v_out*i_out)/(v_in*efficiency)</f>
        <v>3.9527027027027019E-2</v>
      </c>
      <c r="E47" s="58">
        <f>(v_out*i_out)/(v_in*efficiency)</f>
        <v>4.0540540540540536E-2</v>
      </c>
      <c r="F47" s="58">
        <f>(v_out*i_out)/(v_in*efficiency)</f>
        <v>4.1554054054054046E-2</v>
      </c>
      <c r="G47" s="59"/>
      <c r="H47" s="58">
        <f>(v_out*i_out)/(v_in*efficiency)</f>
        <v>5.9290540540540532E-2</v>
      </c>
      <c r="I47" s="58">
        <f>(v_out*i_out)/(v_in*efficiency)</f>
        <v>6.0810810810810807E-2</v>
      </c>
      <c r="J47" s="58">
        <f>(v_out*i_out)/(v_in*efficiency)</f>
        <v>6.2331081081081069E-2</v>
      </c>
      <c r="K47" s="59"/>
      <c r="L47" s="58">
        <f>(v_out*i_out)/(v_in*efficiency)</f>
        <v>5.4349662162162152E-2</v>
      </c>
      <c r="M47" s="58">
        <f>(v_out*i_out)/(v_in*efficiency)</f>
        <v>5.5743243243243236E-2</v>
      </c>
      <c r="N47" s="58">
        <f>(v_out*i_out)/(v_in*efficiency)</f>
        <v>5.7136824324324306E-2</v>
      </c>
      <c r="O47" s="56"/>
      <c r="P47" s="60" t="s">
        <v>7</v>
      </c>
      <c r="Q47" s="17" t="s">
        <v>141</v>
      </c>
    </row>
    <row r="48" spans="1:17" s="57" customFormat="1" hidden="1" x14ac:dyDescent="0.35">
      <c r="A48" s="24" t="s">
        <v>5</v>
      </c>
      <c r="B48" s="25" t="s">
        <v>140</v>
      </c>
      <c r="C48" s="30"/>
      <c r="D48" s="64" t="s">
        <v>22</v>
      </c>
      <c r="E48" s="64" t="s">
        <v>22</v>
      </c>
      <c r="F48" s="64" t="s">
        <v>22</v>
      </c>
      <c r="G48" s="63"/>
      <c r="H48" s="64" t="s">
        <v>22</v>
      </c>
      <c r="I48" s="64" t="s">
        <v>22</v>
      </c>
      <c r="J48" s="64" t="s">
        <v>22</v>
      </c>
      <c r="K48" s="65"/>
      <c r="L48" s="58">
        <f>SUM(L47,H47,D47)</f>
        <v>0.15316722972972971</v>
      </c>
      <c r="M48" s="58">
        <f>SUM(M47,I47,E47)</f>
        <v>0.15709459459459457</v>
      </c>
      <c r="N48" s="58">
        <f>SUM(N47,J47,F47)</f>
        <v>0.16102195945945941</v>
      </c>
      <c r="O48" s="56"/>
      <c r="P48" s="60" t="s">
        <v>7</v>
      </c>
      <c r="Q48" s="17" t="s">
        <v>142</v>
      </c>
    </row>
    <row r="49" spans="1:17" s="57" customFormat="1" ht="72.5" x14ac:dyDescent="0.35">
      <c r="A49" s="13" t="s">
        <v>5</v>
      </c>
      <c r="B49" s="25" t="s">
        <v>154</v>
      </c>
      <c r="C49" s="30"/>
      <c r="D49" s="66">
        <f>i_out_max/dV_dtss</f>
        <v>7.991298394255813E-5</v>
      </c>
      <c r="E49" s="66">
        <f>i_out_max/dV_dtss</f>
        <v>7.9469734681939018E-5</v>
      </c>
      <c r="F49" s="66">
        <f>i_out_max/dV_dtss</f>
        <v>7.9029463693769232E-5</v>
      </c>
      <c r="G49" s="63"/>
      <c r="H49" s="66">
        <f>i_out_max/dV_dtss</f>
        <v>7.187744399238736E-5</v>
      </c>
      <c r="I49" s="66">
        <f>i_out_max/dV_dtss</f>
        <v>7.1314765764885491E-5</v>
      </c>
      <c r="J49" s="66">
        <f>i_out_max/dV_dtss</f>
        <v>7.0759874922317787E-5</v>
      </c>
      <c r="K49" s="65"/>
      <c r="L49" s="66">
        <f>i_out_max/dV_dtss</f>
        <v>5.702898083805695E-5</v>
      </c>
      <c r="M49" s="66">
        <f>i_out_max/dV_dtss</f>
        <v>5.6366350480201219E-5</v>
      </c>
      <c r="N49" s="66">
        <f>i_out_max/dV_dtss</f>
        <v>5.5718639967431829E-5</v>
      </c>
      <c r="O49" s="56"/>
      <c r="P49" s="60" t="s">
        <v>8</v>
      </c>
      <c r="Q49" s="17" t="s">
        <v>153</v>
      </c>
    </row>
    <row r="50" spans="1:17" s="57" customFormat="1" ht="64.150000000000006" hidden="1" customHeight="1" x14ac:dyDescent="0.35">
      <c r="A50" s="13" t="s">
        <v>5</v>
      </c>
      <c r="B50" s="25" t="s">
        <v>155</v>
      </c>
      <c r="C50" s="30"/>
      <c r="D50" s="66">
        <f>((efficiency*4.5*i_chgin_def)/v_out)/dV_dtss</f>
        <v>2.9230769230769235E-4</v>
      </c>
      <c r="E50" s="66">
        <f>((efficiency*4.5*i_chgin_def)/v_out)/dV_dtss</f>
        <v>2.8499999999999999E-4</v>
      </c>
      <c r="F50" s="66">
        <f>((efficiency*4.5*i_chgin_def)/v_out)/dV_dtss</f>
        <v>2.7804878048780495E-4</v>
      </c>
      <c r="G50" s="59"/>
      <c r="H50" s="66">
        <f>((efficiency*4.5*i_chgin_def)/v_out)/dV_dtss</f>
        <v>1.948717948717949E-4</v>
      </c>
      <c r="I50" s="66">
        <f>((efficiency*4.5*i_chgin_def)/v_out)/dV_dtss</f>
        <v>1.8999999999999998E-4</v>
      </c>
      <c r="J50" s="66">
        <f>((efficiency*4.5*i_chgin_def)/v_out)/dV_dtss</f>
        <v>1.853658536585366E-4</v>
      </c>
      <c r="K50" s="59"/>
      <c r="L50" s="66">
        <f>((efficiency*4.5*i_chgin_def)/v_out)/dV_dtss</f>
        <v>1.0629370629370629E-4</v>
      </c>
      <c r="M50" s="66">
        <f>((efficiency*4.5*i_chgin_def)/v_out)/dV_dtss</f>
        <v>1.0363636363636364E-4</v>
      </c>
      <c r="N50" s="66">
        <f>((efficiency*4.5*i_chgin_def)/v_out)/dV_dtss</f>
        <v>1.0110864745011088E-4</v>
      </c>
      <c r="O50" s="56"/>
      <c r="P50" s="60" t="s">
        <v>8</v>
      </c>
      <c r="Q50" s="17" t="s">
        <v>157</v>
      </c>
    </row>
    <row r="51" spans="1:17" x14ac:dyDescent="0.35">
      <c r="A51" s="13"/>
      <c r="B51" s="25"/>
      <c r="C51" s="30"/>
      <c r="D51" s="67"/>
      <c r="E51" s="67"/>
      <c r="F51" s="67"/>
      <c r="G51" s="59"/>
      <c r="H51" s="67"/>
      <c r="I51" s="67"/>
      <c r="J51" s="67"/>
      <c r="K51" s="59"/>
      <c r="L51" s="67"/>
      <c r="M51" s="67"/>
      <c r="N51" s="67"/>
      <c r="O51" s="22"/>
      <c r="P51" s="60"/>
      <c r="Q51" s="32"/>
    </row>
    <row r="52" spans="1:17" hidden="1" x14ac:dyDescent="0.35">
      <c r="A52" s="54"/>
      <c r="B52" s="34" t="s">
        <v>77</v>
      </c>
      <c r="C52" s="35"/>
      <c r="D52" s="33"/>
      <c r="E52" s="33"/>
      <c r="F52" s="33"/>
      <c r="G52" s="36"/>
      <c r="H52" s="33"/>
      <c r="I52" s="33"/>
      <c r="J52" s="33"/>
      <c r="K52" s="36"/>
      <c r="L52" s="33"/>
      <c r="M52" s="33"/>
      <c r="N52" s="33"/>
      <c r="O52" s="36"/>
      <c r="P52" s="33"/>
      <c r="Q52" s="33"/>
    </row>
    <row r="53" spans="1:17" hidden="1" x14ac:dyDescent="0.35">
      <c r="A53" s="24" t="s">
        <v>5</v>
      </c>
      <c r="B53" s="25" t="s">
        <v>82</v>
      </c>
      <c r="C53" s="15"/>
      <c r="D53" s="18">
        <f>SUM(r_c_in,r_m1,r_L_dcr,r_m4)</f>
        <v>0.17219999999999999</v>
      </c>
      <c r="E53" s="18">
        <f>SUM(r_c_in,r_m1,r_L_dcr,r_m4)</f>
        <v>0.17219999999999999</v>
      </c>
      <c r="F53" s="18">
        <f>SUM(r_c_in,r_m1,r_L_dcr,r_m4)</f>
        <v>0.17219999999999999</v>
      </c>
      <c r="G53" s="22"/>
      <c r="H53" s="18">
        <f>SUM(r_c_in,r_m1,r_L_dcr,r_m4)</f>
        <v>0.17219999999999999</v>
      </c>
      <c r="I53" s="18">
        <f>SUM(r_c_in,r_m1,r_L_dcr,r_m4)</f>
        <v>0.17219999999999999</v>
      </c>
      <c r="J53" s="18">
        <f>SUM(r_c_in,r_m1,r_L_dcr,r_m4)</f>
        <v>0.17219999999999999</v>
      </c>
      <c r="K53" s="22"/>
      <c r="L53" s="18">
        <f>SUM(r_c_in,r_m1,r_L_dcr,r_m4)</f>
        <v>0.17219999999999999</v>
      </c>
      <c r="M53" s="18">
        <f>SUM(r_c_in,r_m1,r_L_dcr,r_m4)</f>
        <v>0.17219999999999999</v>
      </c>
      <c r="N53" s="18">
        <f>SUM(r_c_in,r_m1,r_L_dcr,r_m4)</f>
        <v>0.17219999999999999</v>
      </c>
      <c r="O53" s="22"/>
      <c r="P53" s="23" t="s">
        <v>9</v>
      </c>
      <c r="Q53" s="32" t="s">
        <v>83</v>
      </c>
    </row>
    <row r="54" spans="1:17" hidden="1" x14ac:dyDescent="0.35">
      <c r="A54" s="24" t="s">
        <v>5</v>
      </c>
      <c r="B54" s="14" t="s">
        <v>46</v>
      </c>
      <c r="C54" s="15"/>
      <c r="D54" s="18">
        <f>SUM(r_L_dcr,r_m2,r_m3,r_c_out)</f>
        <v>0.13720000000000002</v>
      </c>
      <c r="E54" s="18">
        <f>SUM(r_L_dcr,r_m2,r_m3,r_c_out)</f>
        <v>0.13720000000000002</v>
      </c>
      <c r="F54" s="18">
        <f>SUM(r_L_dcr,r_m2,r_m3,r_c_out)</f>
        <v>0.13720000000000002</v>
      </c>
      <c r="G54" s="22"/>
      <c r="H54" s="18">
        <f>SUM(r_L_dcr,r_m2,r_m3,r_c_out)</f>
        <v>0.13720000000000002</v>
      </c>
      <c r="I54" s="18">
        <f>SUM(r_L_dcr,r_m2,r_m3,r_c_out)</f>
        <v>0.13720000000000002</v>
      </c>
      <c r="J54" s="18">
        <f>SUM(r_L_dcr,r_m2,r_m3,r_c_out)</f>
        <v>0.13720000000000002</v>
      </c>
      <c r="K54" s="22"/>
      <c r="L54" s="18">
        <f>SUM(r_L_dcr,r_m2,r_m3,r_c_out)</f>
        <v>0.13720000000000002</v>
      </c>
      <c r="M54" s="18">
        <f>SUM(r_L_dcr,r_m2,r_m3,r_c_out)</f>
        <v>0.13720000000000002</v>
      </c>
      <c r="N54" s="18">
        <f>SUM(r_L_dcr,r_m2,r_m3,r_c_out)</f>
        <v>0.13720000000000002</v>
      </c>
      <c r="O54" s="22"/>
      <c r="P54" s="23" t="s">
        <v>9</v>
      </c>
      <c r="Q54" s="32" t="s">
        <v>47</v>
      </c>
    </row>
    <row r="55" spans="1:17" hidden="1" x14ac:dyDescent="0.35">
      <c r="A55" s="24" t="s">
        <v>5</v>
      </c>
      <c r="B55" s="14" t="s">
        <v>49</v>
      </c>
      <c r="C55" s="15"/>
      <c r="D55" s="18">
        <f>1/SQRT(3)*i_peak</f>
        <v>0.63508529610858844</v>
      </c>
      <c r="E55" s="18">
        <f>1/SQRT(3)*i_peak</f>
        <v>0.63508529610858844</v>
      </c>
      <c r="F55" s="18">
        <f>1/SQRT(3)*i_peak</f>
        <v>0.63508529610858844</v>
      </c>
      <c r="G55" s="22"/>
      <c r="H55" s="18">
        <f>1/SQRT(3)*i_peak</f>
        <v>0.63508529610858844</v>
      </c>
      <c r="I55" s="18">
        <f>1/SQRT(3)*i_peak</f>
        <v>0.63508529610858844</v>
      </c>
      <c r="J55" s="18">
        <f>1/SQRT(3)*i_peak</f>
        <v>0.63508529610858844</v>
      </c>
      <c r="K55" s="22"/>
      <c r="L55" s="18">
        <f>1/SQRT(3)*i_peak</f>
        <v>0.63508529610858844</v>
      </c>
      <c r="M55" s="18">
        <f>1/SQRT(3)*i_peak</f>
        <v>0.63508529610858844</v>
      </c>
      <c r="N55" s="18">
        <f>1/SQRT(3)*i_peak</f>
        <v>0.63508529610858844</v>
      </c>
      <c r="O55" s="22"/>
      <c r="P55" s="23" t="s">
        <v>7</v>
      </c>
      <c r="Q55" s="32" t="s">
        <v>11</v>
      </c>
    </row>
    <row r="56" spans="1:17" hidden="1" x14ac:dyDescent="0.35">
      <c r="A56" s="24"/>
      <c r="B56" s="25"/>
      <c r="C56" s="30"/>
      <c r="D56" s="67"/>
      <c r="E56" s="67"/>
      <c r="F56" s="67"/>
      <c r="G56" s="59"/>
      <c r="H56" s="67"/>
      <c r="I56" s="67"/>
      <c r="J56" s="67"/>
      <c r="K56" s="59"/>
      <c r="L56" s="67"/>
      <c r="M56" s="67"/>
      <c r="N56" s="67"/>
      <c r="O56" s="22"/>
      <c r="P56" s="60"/>
      <c r="Q56" s="32"/>
    </row>
    <row r="57" spans="1:17" hidden="1" x14ac:dyDescent="0.35">
      <c r="A57" s="54"/>
      <c r="B57" s="34" t="s">
        <v>75</v>
      </c>
      <c r="C57" s="35"/>
      <c r="D57" s="33"/>
      <c r="E57" s="33"/>
      <c r="F57" s="33"/>
      <c r="G57" s="36"/>
      <c r="H57" s="33"/>
      <c r="I57" s="33"/>
      <c r="J57" s="33"/>
      <c r="K57" s="36"/>
      <c r="L57" s="33"/>
      <c r="M57" s="33"/>
      <c r="N57" s="33"/>
      <c r="O57" s="36"/>
      <c r="P57" s="33"/>
      <c r="Q57" s="33"/>
    </row>
    <row r="58" spans="1:17" ht="29" hidden="1" x14ac:dyDescent="0.35">
      <c r="A58" s="24" t="s">
        <v>5</v>
      </c>
      <c r="B58" s="25" t="s">
        <v>184</v>
      </c>
      <c r="C58" s="109"/>
      <c r="D58" s="68">
        <f>L/v_in*i_peak</f>
        <v>6.5405405405405404E-7</v>
      </c>
      <c r="E58" s="68">
        <f>L/v_in*i_peak</f>
        <v>6.5405405405405404E-7</v>
      </c>
      <c r="F58" s="68">
        <f>L/v_in*i_peak</f>
        <v>6.5405405405405404E-7</v>
      </c>
      <c r="G58" s="15"/>
      <c r="H58" s="68">
        <f>L/v_in*i_peak</f>
        <v>6.5405405405405404E-7</v>
      </c>
      <c r="I58" s="68">
        <f>L/v_in*i_peak</f>
        <v>6.5405405405405404E-7</v>
      </c>
      <c r="J58" s="68">
        <f>L/v_in*i_peak</f>
        <v>6.5405405405405404E-7</v>
      </c>
      <c r="K58" s="15"/>
      <c r="L58" s="68">
        <f>L/v_in*i_peak</f>
        <v>6.5405405405405404E-7</v>
      </c>
      <c r="M58" s="68">
        <f>L/v_in*i_peak</f>
        <v>6.5405405405405404E-7</v>
      </c>
      <c r="N58" s="68">
        <f>L/v_in*i_peak</f>
        <v>6.5405405405405404E-7</v>
      </c>
      <c r="O58" s="22"/>
      <c r="P58" s="23" t="s">
        <v>17</v>
      </c>
      <c r="Q58" s="32" t="s">
        <v>186</v>
      </c>
    </row>
    <row r="59" spans="1:17" ht="43.5" hidden="1" x14ac:dyDescent="0.35">
      <c r="A59" s="24" t="s">
        <v>5</v>
      </c>
      <c r="B59" s="14" t="s">
        <v>50</v>
      </c>
      <c r="C59" s="15"/>
      <c r="D59" s="68">
        <f>-(LN(1-i_peak*r_chg/v_in)*L/r_chg)</f>
        <v>6.7139034871033091E-7</v>
      </c>
      <c r="E59" s="68">
        <f>-(LN(1-i_peak*r_chg/v_in)*L/r_chg)</f>
        <v>6.7139034871033091E-7</v>
      </c>
      <c r="F59" s="68">
        <f>-(LN(1-i_peak*r_chg/v_in)*L/r_chg)</f>
        <v>6.7139034871033091E-7</v>
      </c>
      <c r="G59" s="15"/>
      <c r="H59" s="68">
        <f>-(LN(1-i_peak*r_chg/v_in)*L/r_chg)</f>
        <v>6.7139034871033091E-7</v>
      </c>
      <c r="I59" s="68">
        <f>-(LN(1-i_peak*r_chg/v_in)*L/r_chg)</f>
        <v>6.7139034871033091E-7</v>
      </c>
      <c r="J59" s="68">
        <f>-(LN(1-i_peak*r_chg/v_in)*L/r_chg)</f>
        <v>6.7139034871033091E-7</v>
      </c>
      <c r="K59" s="15"/>
      <c r="L59" s="68">
        <f>-(LN(1-i_peak*r_chg/v_in)*L/r_chg)</f>
        <v>6.7139034871033091E-7</v>
      </c>
      <c r="M59" s="68">
        <f>-(LN(1-i_peak*r_chg/v_in)*L/r_chg)</f>
        <v>6.7139034871033091E-7</v>
      </c>
      <c r="N59" s="68">
        <f>-(LN(1-i_peak*r_chg/v_in)*L/r_chg)</f>
        <v>6.7139034871033091E-7</v>
      </c>
      <c r="O59" s="22"/>
      <c r="P59" s="23" t="s">
        <v>17</v>
      </c>
      <c r="Q59" s="32" t="s">
        <v>185</v>
      </c>
    </row>
    <row r="60" spans="1:17" ht="29" hidden="1" x14ac:dyDescent="0.35">
      <c r="A60" s="24" t="s">
        <v>5</v>
      </c>
      <c r="B60" s="25" t="s">
        <v>183</v>
      </c>
      <c r="C60" s="109"/>
      <c r="D60" s="68">
        <f>L/v_out*i_peak</f>
        <v>2.0683760683760686E-6</v>
      </c>
      <c r="E60" s="68">
        <f>L/v_out*i_peak</f>
        <v>2.0166666666666671E-6</v>
      </c>
      <c r="F60" s="68">
        <f>L/v_out*i_peak</f>
        <v>1.9674796747967488E-6</v>
      </c>
      <c r="G60" s="15"/>
      <c r="H60" s="68">
        <f>L/v_out*i_peak</f>
        <v>1.3789173789173792E-6</v>
      </c>
      <c r="I60" s="68">
        <f>L/v_out*i_peak</f>
        <v>1.3444444444444446E-6</v>
      </c>
      <c r="J60" s="68">
        <f>L/v_out*i_peak</f>
        <v>1.3116531165311655E-6</v>
      </c>
      <c r="K60" s="15"/>
      <c r="L60" s="68">
        <f>L/v_out*i_peak</f>
        <v>7.5213675213675229E-7</v>
      </c>
      <c r="M60" s="68">
        <f>L/v_out*i_peak</f>
        <v>7.3333333333333344E-7</v>
      </c>
      <c r="N60" s="68">
        <f>L/v_out*i_peak</f>
        <v>7.1544715447154495E-7</v>
      </c>
      <c r="O60" s="22"/>
      <c r="P60" s="60" t="s">
        <v>17</v>
      </c>
      <c r="Q60" s="32" t="s">
        <v>187</v>
      </c>
    </row>
    <row r="61" spans="1:17" ht="43.5" hidden="1" x14ac:dyDescent="0.35">
      <c r="A61" s="24" t="s">
        <v>5</v>
      </c>
      <c r="B61" s="14" t="s">
        <v>51</v>
      </c>
      <c r="C61" s="15"/>
      <c r="D61" s="68">
        <f>-L/r_dis*LN((v_out/r_dis)/(i_peak+v_out/r_dis))</f>
        <v>1.9454400318731962E-6</v>
      </c>
      <c r="E61" s="68">
        <f>-L/r_dis*LN((v_out/r_dis)/(i_peak+v_out/r_dis))</f>
        <v>1.8995730836484512E-6</v>
      </c>
      <c r="F61" s="68">
        <f>-L/r_dis*LN((v_out/r_dis)/(i_peak+v_out/r_dis))</f>
        <v>1.8558214542382291E-6</v>
      </c>
      <c r="G61" s="15"/>
      <c r="H61" s="68">
        <f>-L/r_dis*LN((v_out/r_dis)/(i_peak+v_out/r_dis))</f>
        <v>1.3228217519989128E-6</v>
      </c>
      <c r="I61" s="68">
        <f>-L/r_dis*LN((v_out/r_dis)/(i_peak+v_out/r_dis))</f>
        <v>1.2910470905777905E-6</v>
      </c>
      <c r="J61" s="68">
        <f>-L/r_dis*LN((v_out/r_dis)/(i_peak+v_out/r_dis))</f>
        <v>1.260763868462871E-6</v>
      </c>
      <c r="K61" s="15"/>
      <c r="L61" s="68">
        <f>-L/r_dis*LN((v_out/r_dis)/(i_peak+v_out/r_dis))</f>
        <v>7.3502980066387388E-7</v>
      </c>
      <c r="M61" s="68">
        <f>-L/r_dis*LN((v_out/r_dis)/(i_peak+v_out/r_dis))</f>
        <v>7.1705879091969715E-7</v>
      </c>
      <c r="N61" s="68">
        <f>-L/r_dis*LN((v_out/r_dis)/(i_peak+v_out/r_dis))</f>
        <v>6.9994570447516902E-7</v>
      </c>
      <c r="O61" s="22"/>
      <c r="P61" s="23" t="s">
        <v>17</v>
      </c>
      <c r="Q61" s="32" t="s">
        <v>188</v>
      </c>
    </row>
    <row r="62" spans="1:17" hidden="1" x14ac:dyDescent="0.35">
      <c r="A62" s="24" t="s">
        <v>5</v>
      </c>
      <c r="B62" s="25" t="s">
        <v>86</v>
      </c>
      <c r="C62" s="15"/>
      <c r="D62" s="18">
        <f>t_chg+t_dis</f>
        <v>2.6168303805835271E-6</v>
      </c>
      <c r="E62" s="18">
        <f>t_chg+t_dis</f>
        <v>2.5709634323587819E-6</v>
      </c>
      <c r="F62" s="18">
        <f>t_chg+t_dis</f>
        <v>2.52721180294856E-6</v>
      </c>
      <c r="G62" s="22"/>
      <c r="H62" s="18">
        <f>t_chg+t_dis</f>
        <v>1.9942121007092437E-6</v>
      </c>
      <c r="I62" s="18">
        <f>t_chg+t_dis</f>
        <v>1.9624374392881217E-6</v>
      </c>
      <c r="J62" s="18">
        <f>t_chg+t_dis</f>
        <v>1.9321542171732019E-6</v>
      </c>
      <c r="K62" s="22"/>
      <c r="L62" s="18">
        <f>t_chg+t_dis</f>
        <v>1.4064201493742047E-6</v>
      </c>
      <c r="M62" s="18">
        <f>t_chg+t_dis</f>
        <v>1.3884491396300279E-6</v>
      </c>
      <c r="N62" s="18">
        <f>t_chg+t_dis</f>
        <v>1.3713360531854999E-6</v>
      </c>
      <c r="O62" s="22"/>
      <c r="P62" s="60" t="s">
        <v>17</v>
      </c>
      <c r="Q62" s="32" t="s">
        <v>87</v>
      </c>
    </row>
    <row r="63" spans="1:17" hidden="1" x14ac:dyDescent="0.35">
      <c r="A63" s="24" t="s">
        <v>5</v>
      </c>
      <c r="B63" s="14" t="s">
        <v>52</v>
      </c>
      <c r="C63" s="15"/>
      <c r="D63" s="18">
        <f>t_chg+t_error_comp</f>
        <v>1.5213903487103308E-6</v>
      </c>
      <c r="E63" s="18">
        <f>t_chg+t_error_comp</f>
        <v>1.5213903487103308E-6</v>
      </c>
      <c r="F63" s="18">
        <f>t_chg+t_error_comp</f>
        <v>1.5213903487103308E-6</v>
      </c>
      <c r="G63" s="22"/>
      <c r="H63" s="18">
        <f>t_chg+t_error_comp</f>
        <v>1.5213903487103308E-6</v>
      </c>
      <c r="I63" s="18">
        <f>t_chg+t_error_comp</f>
        <v>1.5213903487103308E-6</v>
      </c>
      <c r="J63" s="18">
        <f>t_chg+t_error_comp</f>
        <v>1.5213903487103308E-6</v>
      </c>
      <c r="K63" s="22"/>
      <c r="L63" s="18">
        <f>t_chg+t_error_comp</f>
        <v>1.5213903487103308E-6</v>
      </c>
      <c r="M63" s="18">
        <f>t_chg+t_error_comp</f>
        <v>1.4713903487103309E-6</v>
      </c>
      <c r="N63" s="18">
        <f>t_chg+t_error_comp</f>
        <v>1.4713903487103309E-6</v>
      </c>
      <c r="O63" s="22"/>
      <c r="P63" s="23" t="s">
        <v>17</v>
      </c>
      <c r="Q63" s="32" t="s">
        <v>63</v>
      </c>
    </row>
    <row r="64" spans="1:17" hidden="1" x14ac:dyDescent="0.35">
      <c r="A64" s="24" t="s">
        <v>5</v>
      </c>
      <c r="B64" s="107" t="s">
        <v>178</v>
      </c>
      <c r="C64" s="15"/>
      <c r="D64" s="67">
        <f>1/f_out</f>
        <v>8.510496177325287E-6</v>
      </c>
      <c r="E64" s="67">
        <f>1/f_out</f>
        <v>8.316116008677531E-6</v>
      </c>
      <c r="F64" s="67">
        <f>1/f_out</f>
        <v>8.1303882171411852E-6</v>
      </c>
      <c r="G64" s="59"/>
      <c r="H64" s="67">
        <f>1/f_out</f>
        <v>5.8441216768845759E-6</v>
      </c>
      <c r="I64" s="67">
        <f>1/f_out</f>
        <v>5.7064912249759139E-6</v>
      </c>
      <c r="J64" s="67">
        <f>1/f_out</f>
        <v>5.57518566842736E-6</v>
      </c>
      <c r="K64" s="59"/>
      <c r="L64" s="67">
        <f>1/f_out</f>
        <v>7.2856409742279983E-6</v>
      </c>
      <c r="M64" s="67">
        <f>1/f_out</f>
        <v>7.1091222919123018E-6</v>
      </c>
      <c r="N64" s="67">
        <f>1/f_out</f>
        <v>6.9409522777050132E-6</v>
      </c>
      <c r="O64" s="22"/>
      <c r="P64" s="60" t="s">
        <v>17</v>
      </c>
      <c r="Q64" s="108" t="s">
        <v>180</v>
      </c>
    </row>
    <row r="65" spans="1:17" hidden="1" x14ac:dyDescent="0.35">
      <c r="A65" s="24" t="s">
        <v>5</v>
      </c>
      <c r="B65" s="107" t="s">
        <v>179</v>
      </c>
      <c r="C65" s="15"/>
      <c r="D65" s="67">
        <f>t_period-t_dis</f>
        <v>6.5650561454520908E-6</v>
      </c>
      <c r="E65" s="67">
        <f>t_period-t_dis</f>
        <v>6.4165429250290796E-6</v>
      </c>
      <c r="F65" s="67">
        <f>t_period-t_dis</f>
        <v>6.2745667629029561E-6</v>
      </c>
      <c r="G65" s="59"/>
      <c r="H65" s="67">
        <f>t_period-t_dis</f>
        <v>4.5212999248856631E-6</v>
      </c>
      <c r="I65" s="67">
        <f>t_period-t_dis</f>
        <v>4.4154441343981236E-6</v>
      </c>
      <c r="J65" s="67">
        <f>t_period-t_dis</f>
        <v>4.314421799964489E-6</v>
      </c>
      <c r="K65" s="59"/>
      <c r="L65" s="67">
        <f>t_period-t_dis</f>
        <v>6.5506111735641241E-6</v>
      </c>
      <c r="M65" s="67">
        <f>t_period-t_dis</f>
        <v>6.3920635009926044E-6</v>
      </c>
      <c r="N65" s="67">
        <f>t_period-t_dis</f>
        <v>6.2410065732298442E-6</v>
      </c>
      <c r="O65" s="22"/>
      <c r="P65" s="23" t="s">
        <v>17</v>
      </c>
      <c r="Q65" s="108" t="s">
        <v>181</v>
      </c>
    </row>
    <row r="66" spans="1:17" hidden="1" x14ac:dyDescent="0.35">
      <c r="A66" s="24"/>
      <c r="B66" s="25"/>
      <c r="C66" s="30"/>
      <c r="D66" s="67"/>
      <c r="E66" s="67"/>
      <c r="F66" s="67"/>
      <c r="G66" s="59"/>
      <c r="H66" s="67"/>
      <c r="I66" s="67"/>
      <c r="J66" s="67"/>
      <c r="K66" s="59"/>
      <c r="L66" s="67"/>
      <c r="M66" s="67"/>
      <c r="N66" s="67"/>
      <c r="O66" s="22"/>
      <c r="P66" s="60"/>
      <c r="Q66" s="32"/>
    </row>
    <row r="67" spans="1:17" hidden="1" x14ac:dyDescent="0.35">
      <c r="A67" s="54"/>
      <c r="B67" s="34" t="s">
        <v>74</v>
      </c>
      <c r="C67" s="35"/>
      <c r="D67" s="33"/>
      <c r="E67" s="33"/>
      <c r="F67" s="33"/>
      <c r="G67" s="36"/>
      <c r="H67" s="33"/>
      <c r="I67" s="33"/>
      <c r="J67" s="33"/>
      <c r="K67" s="36"/>
      <c r="L67" s="33"/>
      <c r="M67" s="33"/>
      <c r="N67" s="33"/>
      <c r="O67" s="36"/>
      <c r="P67" s="33"/>
      <c r="Q67" s="33"/>
    </row>
    <row r="68" spans="1:17" hidden="1" x14ac:dyDescent="0.35">
      <c r="A68" s="24" t="s">
        <v>5</v>
      </c>
      <c r="B68" s="14" t="s">
        <v>45</v>
      </c>
      <c r="C68" s="15"/>
      <c r="D68" s="18">
        <f>1/2*L*i_peak^2</f>
        <v>1.3310000000000003E-6</v>
      </c>
      <c r="E68" s="18">
        <f>1/2*L*i_peak^2</f>
        <v>1.3310000000000003E-6</v>
      </c>
      <c r="F68" s="18">
        <f>1/2*L*i_peak^2</f>
        <v>1.3310000000000003E-6</v>
      </c>
      <c r="G68" s="22"/>
      <c r="H68" s="18">
        <f>1/2*L*i_peak^2</f>
        <v>1.3310000000000003E-6</v>
      </c>
      <c r="I68" s="18">
        <f>1/2*L*i_peak^2</f>
        <v>1.3310000000000003E-6</v>
      </c>
      <c r="J68" s="18">
        <f>1/2*L*i_peak^2</f>
        <v>1.3310000000000003E-6</v>
      </c>
      <c r="K68" s="22"/>
      <c r="L68" s="18">
        <f>1/2*L*i_peak^2</f>
        <v>1.3310000000000003E-6</v>
      </c>
      <c r="M68" s="18">
        <f>1/2*L*i_peak^2</f>
        <v>1.3310000000000003E-6</v>
      </c>
      <c r="N68" s="18">
        <f>1/2*L*i_peak^2</f>
        <v>1.3310000000000003E-6</v>
      </c>
      <c r="O68" s="22"/>
      <c r="P68" s="14" t="s">
        <v>2</v>
      </c>
      <c r="Q68" s="32" t="s">
        <v>48</v>
      </c>
    </row>
    <row r="69" spans="1:17" hidden="1" x14ac:dyDescent="0.35">
      <c r="A69" s="24" t="s">
        <v>5</v>
      </c>
      <c r="B69" s="14" t="s">
        <v>54</v>
      </c>
      <c r="C69" s="15"/>
      <c r="D69" s="18">
        <f>i_dis_rms^2*r_dis*t_dis</f>
        <v>1.0765546352377773E-7</v>
      </c>
      <c r="E69" s="18">
        <f>i_dis_rms^2*r_dis*t_dis</f>
        <v>1.0511730892088228E-7</v>
      </c>
      <c r="F69" s="18">
        <f>i_dis_rms^2*r_dis*t_dis</f>
        <v>1.0269621042033233E-7</v>
      </c>
      <c r="G69" s="22"/>
      <c r="H69" s="18">
        <f>i_dis_rms^2*r_dis*t_dis</f>
        <v>7.3201428230947873E-8</v>
      </c>
      <c r="I69" s="18">
        <f>i_dis_rms^2*r_dis*t_dis</f>
        <v>7.144310320033342E-8</v>
      </c>
      <c r="J69" s="18">
        <f>i_dis_rms^2*r_dis*t_dis</f>
        <v>6.9767310443752744E-8</v>
      </c>
      <c r="K69" s="22"/>
      <c r="L69" s="18">
        <f>i_dis_rms^2*r_dis*t_dis</f>
        <v>4.0674589089270361E-8</v>
      </c>
      <c r="M69" s="18">
        <f>i_dis_rms^2*r_dis*t_dis</f>
        <v>3.968012133272027E-8</v>
      </c>
      <c r="N69" s="18">
        <f>i_dis_rms^2*r_dis*t_dis</f>
        <v>3.8733128763777266E-8</v>
      </c>
      <c r="O69" s="22"/>
      <c r="P69" s="23" t="s">
        <v>2</v>
      </c>
      <c r="Q69" s="32" t="s">
        <v>12</v>
      </c>
    </row>
    <row r="70" spans="1:17" hidden="1" x14ac:dyDescent="0.35">
      <c r="A70" s="24" t="s">
        <v>5</v>
      </c>
      <c r="B70" s="14" t="s">
        <v>55</v>
      </c>
      <c r="C70" s="15"/>
      <c r="D70" s="18">
        <f>i_out*v_out*t_dis</f>
        <v>2.2761648372916394E-7</v>
      </c>
      <c r="E70" s="18">
        <f>i_out*v_out*t_dis</f>
        <v>2.2794877003781413E-7</v>
      </c>
      <c r="F70" s="18">
        <f>i_out*v_out*t_dis</f>
        <v>2.2826603887130215E-7</v>
      </c>
      <c r="G70" s="22"/>
      <c r="H70" s="18">
        <f>i_out*v_out*t_dis</f>
        <v>2.3215521747580919E-7</v>
      </c>
      <c r="I70" s="18">
        <f>i_out*v_out*t_dis</f>
        <v>2.3238847630400233E-7</v>
      </c>
      <c r="J70" s="18">
        <f>i_out*v_out*t_dis</f>
        <v>2.326109337313997E-7</v>
      </c>
      <c r="K70" s="22"/>
      <c r="L70" s="18">
        <f>i_out*v_out*t_dis</f>
        <v>1.182479191818007E-7</v>
      </c>
      <c r="M70" s="18">
        <f>i_out*v_out*t_dis</f>
        <v>1.1831470050175003E-7</v>
      </c>
      <c r="N70" s="18">
        <f>i_out*v_out*t_dis</f>
        <v>1.1837831726936294E-7</v>
      </c>
      <c r="O70" s="22"/>
      <c r="P70" s="23" t="s">
        <v>2</v>
      </c>
      <c r="Q70" s="32" t="s">
        <v>13</v>
      </c>
    </row>
    <row r="71" spans="1:17" hidden="1" x14ac:dyDescent="0.35">
      <c r="A71" s="24" t="s">
        <v>5</v>
      </c>
      <c r="B71" s="25" t="s">
        <v>56</v>
      </c>
      <c r="C71" s="15"/>
      <c r="D71" s="18">
        <f>e_L_peak-e_dis</f>
        <v>1.2233445364762224E-6</v>
      </c>
      <c r="E71" s="18">
        <f>e_L_peak-e_dis</f>
        <v>1.2258826910791179E-6</v>
      </c>
      <c r="F71" s="18">
        <f>e_L_peak-e_dis</f>
        <v>1.2283037895796679E-6</v>
      </c>
      <c r="G71" s="22"/>
      <c r="H71" s="18">
        <f>e_L_peak-e_dis</f>
        <v>1.2577985717690524E-6</v>
      </c>
      <c r="I71" s="18">
        <f>e_L_peak-e_dis</f>
        <v>1.2595568967996668E-6</v>
      </c>
      <c r="J71" s="18">
        <f>e_L_peak-e_dis</f>
        <v>1.2612326895562476E-6</v>
      </c>
      <c r="K71" s="22"/>
      <c r="L71" s="18">
        <f>e_L_peak-e_dis</f>
        <v>1.2903254109107298E-6</v>
      </c>
      <c r="M71" s="18">
        <f>e_L_peak-e_dis</f>
        <v>1.29131987866728E-6</v>
      </c>
      <c r="N71" s="18">
        <f>e_L_peak-e_dis</f>
        <v>1.292266871236223E-6</v>
      </c>
      <c r="O71" s="22"/>
      <c r="P71" s="60" t="s">
        <v>2</v>
      </c>
      <c r="Q71" s="32" t="s">
        <v>90</v>
      </c>
    </row>
    <row r="72" spans="1:17" hidden="1" x14ac:dyDescent="0.35">
      <c r="A72" s="24" t="s">
        <v>5</v>
      </c>
      <c r="B72" s="25" t="s">
        <v>89</v>
      </c>
      <c r="C72" s="15"/>
      <c r="D72" s="68">
        <f>e_L_peak-e_dis-e_load_dis</f>
        <v>9.9572805274705845E-7</v>
      </c>
      <c r="E72" s="68">
        <f>e_L_peak-e_dis-e_load_dis</f>
        <v>9.9793392104130379E-7</v>
      </c>
      <c r="F72" s="68">
        <f>e_L_peak-e_dis-e_load_dis</f>
        <v>1.0000377507083657E-6</v>
      </c>
      <c r="G72" s="22"/>
      <c r="H72" s="68">
        <f>e_L_peak-e_dis-e_load_dis</f>
        <v>1.0256433542932431E-6</v>
      </c>
      <c r="I72" s="68">
        <f>e_L_peak-e_dis-e_load_dis</f>
        <v>1.0271684204956645E-6</v>
      </c>
      <c r="J72" s="68">
        <f>e_L_peak-e_dis-e_load_dis</f>
        <v>1.0286217558248479E-6</v>
      </c>
      <c r="K72" s="22"/>
      <c r="L72" s="68">
        <f>e_L_peak-e_dis-e_load_dis</f>
        <v>1.1720774917289292E-6</v>
      </c>
      <c r="M72" s="68">
        <f>e_L_peak-e_dis-e_load_dis</f>
        <v>1.1730051781655299E-6</v>
      </c>
      <c r="N72" s="68">
        <f>e_L_peak-e_dis-e_load_dis</f>
        <v>1.1738885539668601E-6</v>
      </c>
      <c r="O72" s="22"/>
      <c r="P72" s="25" t="s">
        <v>2</v>
      </c>
      <c r="Q72" s="32" t="s">
        <v>91</v>
      </c>
    </row>
    <row r="73" spans="1:17" hidden="1" x14ac:dyDescent="0.35">
      <c r="A73" s="24" t="s">
        <v>5</v>
      </c>
      <c r="B73" s="25" t="s">
        <v>61</v>
      </c>
      <c r="C73" s="15"/>
      <c r="D73" s="68">
        <f>1/2 * c_out_effective*v_out^2</f>
        <v>6.8444999999999994E-6</v>
      </c>
      <c r="E73" s="68">
        <f>1/2 * c_out_effective*v_out^2</f>
        <v>7.2000000000000005E-6</v>
      </c>
      <c r="F73" s="68">
        <f>1/2 * c_out_effective*v_out^2</f>
        <v>7.5644999999999976E-6</v>
      </c>
      <c r="G73" s="22"/>
      <c r="H73" s="68">
        <f>1/2 * c_out_effective*v_out^2</f>
        <v>1.5400125E-5</v>
      </c>
      <c r="I73" s="68">
        <f>1/2 * c_out_effective*v_out^2</f>
        <v>1.6200000000000001E-5</v>
      </c>
      <c r="J73" s="68">
        <f>1/2 * c_out_effective*v_out^2</f>
        <v>1.7020125000000002E-5</v>
      </c>
      <c r="K73" s="22"/>
      <c r="L73" s="68">
        <f>1/2 * c_out_effective*v_out^2</f>
        <v>5.1761531249999993E-5</v>
      </c>
      <c r="M73" s="68">
        <f>1/2 * c_out_effective*v_out^2</f>
        <v>5.4449999999999995E-5</v>
      </c>
      <c r="N73" s="68">
        <f>1/2 * c_out_effective*v_out^2</f>
        <v>5.7206531249999985E-5</v>
      </c>
      <c r="O73" s="22"/>
      <c r="P73" s="25" t="s">
        <v>2</v>
      </c>
      <c r="Q73" s="32" t="s">
        <v>18</v>
      </c>
    </row>
    <row r="74" spans="1:17" hidden="1" x14ac:dyDescent="0.35">
      <c r="A74" s="24" t="s">
        <v>5</v>
      </c>
      <c r="B74" s="25" t="s">
        <v>62</v>
      </c>
      <c r="C74" s="15"/>
      <c r="D74" s="68">
        <f>e_c_out_delivered+e_c_out_actual</f>
        <v>7.8402280527470573E-6</v>
      </c>
      <c r="E74" s="68">
        <f>e_c_out_delivered+e_c_out_actual</f>
        <v>8.1979339210413043E-6</v>
      </c>
      <c r="F74" s="68">
        <f>e_c_out_delivered+e_c_out_actual</f>
        <v>8.5645377507083642E-6</v>
      </c>
      <c r="G74" s="22"/>
      <c r="H74" s="68">
        <f>e_c_out_delivered+e_c_out_actual</f>
        <v>1.6425768354293242E-5</v>
      </c>
      <c r="I74" s="68">
        <f>e_c_out_delivered+e_c_out_actual</f>
        <v>1.7227168420495665E-5</v>
      </c>
      <c r="J74" s="68">
        <f>e_c_out_delivered+e_c_out_actual</f>
        <v>1.8048746755824851E-5</v>
      </c>
      <c r="K74" s="22"/>
      <c r="L74" s="68">
        <f>e_c_out_delivered+e_c_out_actual</f>
        <v>5.2933608741728923E-5</v>
      </c>
      <c r="M74" s="68">
        <f>e_c_out_delivered+e_c_out_actual</f>
        <v>5.5623005178165526E-5</v>
      </c>
      <c r="N74" s="68">
        <f>e_c_out_delivered+e_c_out_actual</f>
        <v>5.8380419803966844E-5</v>
      </c>
      <c r="O74" s="22"/>
      <c r="P74" s="25" t="s">
        <v>2</v>
      </c>
      <c r="Q74" s="32" t="s">
        <v>19</v>
      </c>
    </row>
    <row r="75" spans="1:17" hidden="1" x14ac:dyDescent="0.35">
      <c r="A75" s="24" t="s">
        <v>5</v>
      </c>
      <c r="B75" s="25" t="s">
        <v>57</v>
      </c>
      <c r="C75" s="15"/>
      <c r="D75" s="69">
        <f>SQRT(e_c_out_peak_actual*2/c_out_effective)</f>
        <v>1.2522162794619032</v>
      </c>
      <c r="E75" s="69">
        <f>SQRT(e_c_out_peak_actual*2/c_out_effective)</f>
        <v>1.2804635036611784</v>
      </c>
      <c r="F75" s="69">
        <f>SQRT(e_c_out_peak_actual*2/c_out_effective)</f>
        <v>1.3087809404715798</v>
      </c>
      <c r="G75" s="70"/>
      <c r="H75" s="69">
        <f>SQRT(e_c_out_peak_actual*2/c_out_effective)</f>
        <v>1.8124992885125908</v>
      </c>
      <c r="I75" s="69">
        <f>SQRT(e_c_out_peak_actual*2/c_out_effective)</f>
        <v>1.8561879441746014</v>
      </c>
      <c r="J75" s="69">
        <f>SQRT(e_c_out_peak_actual*2/c_out_effective)</f>
        <v>1.8999340386352812</v>
      </c>
      <c r="K75" s="70"/>
      <c r="L75" s="69">
        <f>SQRT(e_c_out_peak_actual*2/c_out_effective)</f>
        <v>3.2537242889258127</v>
      </c>
      <c r="M75" s="69">
        <f>SQRT(e_c_out_peak_actual*2/c_out_effective)</f>
        <v>3.3353562082082182</v>
      </c>
      <c r="N75" s="69">
        <f>SQRT(e_c_out_peak_actual*2/c_out_effective)</f>
        <v>3.4170285279454968</v>
      </c>
      <c r="O75" s="22"/>
      <c r="P75" s="25" t="s">
        <v>1</v>
      </c>
      <c r="Q75" s="32" t="s">
        <v>20</v>
      </c>
    </row>
    <row r="76" spans="1:17" hidden="1" x14ac:dyDescent="0.35">
      <c r="A76" s="24" t="s">
        <v>5</v>
      </c>
      <c r="B76" s="25" t="s">
        <v>115</v>
      </c>
      <c r="C76" s="15"/>
      <c r="D76" s="71">
        <f>SQRT((e_c_out_actual+e_delivered)*2/c_out_effective)-v_out</f>
        <v>0.10026332203021759</v>
      </c>
      <c r="E76" s="71">
        <f>SQRT((e_c_out_actual+e_delivered)*2/c_out_effective)-v_out</f>
        <v>9.8143496773690275E-2</v>
      </c>
      <c r="F76" s="71">
        <f>SQRT((e_c_out_actual+e_delivered)*2/c_out_effective)-v_out</f>
        <v>9.6107370432701344E-2</v>
      </c>
      <c r="G76" s="72"/>
      <c r="H76" s="71">
        <f>SQRT((e_c_out_actual+e_delivered)*2/c_out_effective)-v_out</f>
        <v>7.0262916501020456E-2</v>
      </c>
      <c r="I76" s="71">
        <f>SQRT((e_c_out_actual+e_delivered)*2/c_out_effective)-v_out</f>
        <v>6.8665668160019733E-2</v>
      </c>
      <c r="J76" s="71">
        <f>SQRT((e_c_out_actual+e_delivered)*2/c_out_effective)-v_out</f>
        <v>6.713794949821783E-2</v>
      </c>
      <c r="K76" s="72"/>
      <c r="L76" s="71">
        <f>SQRT((e_c_out_actual+e_delivered)*2/c_out_effective)-v_out</f>
        <v>3.9856494487845229E-2</v>
      </c>
      <c r="M76" s="71">
        <f>SQRT((e_c_out_actual+e_delivered)*2/c_out_effective)-v_out</f>
        <v>3.8901612167309363E-2</v>
      </c>
      <c r="N76" s="71">
        <f>SQRT((e_c_out_actual+e_delivered)*2/c_out_effective)-v_out</f>
        <v>3.799113787000552E-2</v>
      </c>
      <c r="O76" s="22"/>
      <c r="P76" s="25" t="s">
        <v>1</v>
      </c>
      <c r="Q76" s="73" t="s">
        <v>113</v>
      </c>
    </row>
    <row r="77" spans="1:17" hidden="1" x14ac:dyDescent="0.35">
      <c r="A77" s="24" t="s">
        <v>5</v>
      </c>
      <c r="B77" s="25" t="s">
        <v>58</v>
      </c>
      <c r="C77" s="15"/>
      <c r="D77" s="74">
        <f>v_c_out_peak_actual-v_out</f>
        <v>8.2216279461903241E-2</v>
      </c>
      <c r="E77" s="74">
        <f>v_c_out_peak_actual-v_out</f>
        <v>8.0463503661178493E-2</v>
      </c>
      <c r="F77" s="74">
        <f>v_c_out_peak_actual-v_out</f>
        <v>7.8780940471580019E-2</v>
      </c>
      <c r="G77" s="72"/>
      <c r="H77" s="74">
        <f>v_c_out_peak_actual-v_out</f>
        <v>5.7499288512590896E-2</v>
      </c>
      <c r="I77" s="74">
        <f>v_c_out_peak_actual-v_out</f>
        <v>5.6187944174601379E-2</v>
      </c>
      <c r="J77" s="74">
        <f>v_c_out_peak_actual-v_out</f>
        <v>5.4934038635281235E-2</v>
      </c>
      <c r="K77" s="72"/>
      <c r="L77" s="74">
        <f>v_c_out_peak_actual-v_out</f>
        <v>3.6224288925812864E-2</v>
      </c>
      <c r="M77" s="74">
        <f>v_c_out_peak_actual-v_out</f>
        <v>3.5356208208218387E-2</v>
      </c>
      <c r="N77" s="74">
        <f>v_c_out_peak_actual-v_out</f>
        <v>3.4528527945497434E-2</v>
      </c>
      <c r="O77" s="22"/>
      <c r="P77" s="25" t="s">
        <v>1</v>
      </c>
      <c r="Q77" s="73" t="s">
        <v>114</v>
      </c>
    </row>
    <row r="78" spans="1:17" hidden="1" x14ac:dyDescent="0.35">
      <c r="A78" s="24"/>
      <c r="B78" s="25"/>
      <c r="C78" s="30"/>
      <c r="D78" s="75"/>
      <c r="E78" s="75"/>
      <c r="F78" s="75"/>
      <c r="G78" s="59"/>
      <c r="H78" s="75"/>
      <c r="I78" s="75"/>
      <c r="J78" s="75"/>
      <c r="K78" s="59"/>
      <c r="L78" s="75"/>
      <c r="M78" s="75"/>
      <c r="N78" s="75"/>
      <c r="O78" s="22"/>
      <c r="P78" s="25"/>
      <c r="Q78" s="73"/>
    </row>
    <row r="79" spans="1:17" x14ac:dyDescent="0.35">
      <c r="A79" s="105"/>
      <c r="B79" s="106" t="s">
        <v>117</v>
      </c>
      <c r="C79" s="105"/>
      <c r="D79" s="105"/>
      <c r="E79" s="105"/>
      <c r="F79" s="105"/>
      <c r="G79" s="105"/>
      <c r="H79" s="105"/>
      <c r="I79" s="105"/>
      <c r="J79" s="105"/>
      <c r="K79" s="105"/>
      <c r="L79" s="105"/>
      <c r="M79" s="105"/>
      <c r="N79" s="105"/>
      <c r="O79" s="105"/>
      <c r="P79" s="105"/>
      <c r="Q79" s="33"/>
    </row>
    <row r="80" spans="1:17" x14ac:dyDescent="0.35">
      <c r="A80" s="76" t="s">
        <v>5</v>
      </c>
      <c r="B80" s="25" t="s">
        <v>94</v>
      </c>
      <c r="C80" s="15"/>
      <c r="D80" s="68">
        <f>e_delivered/t_service</f>
        <v>0.46749095606396501</v>
      </c>
      <c r="E80" s="68">
        <f>e_delivered/t_service</f>
        <v>0.47681840809163406</v>
      </c>
      <c r="F80" s="68">
        <f>e_delivered/t_service</f>
        <v>0.48603120171668068</v>
      </c>
      <c r="G80" s="22"/>
      <c r="H80" s="68">
        <f>e_delivered/t_service</f>
        <v>0.63072457103319901</v>
      </c>
      <c r="I80" s="68">
        <f>e_delivered/t_service</f>
        <v>0.64183289188396941</v>
      </c>
      <c r="J80" s="68">
        <f>e_delivered/t_service</f>
        <v>0.65275984615838167</v>
      </c>
      <c r="K80" s="22"/>
      <c r="L80" s="68">
        <f>e_delivered/(t_service)</f>
        <v>0.91745372923224122</v>
      </c>
      <c r="M80" s="68">
        <f>e_delivered/(t_service)</f>
        <v>0.93004478292332016</v>
      </c>
      <c r="N80" s="68">
        <f>e_delivered/(t_service)</f>
        <v>0.94234149844919068</v>
      </c>
      <c r="O80" s="22"/>
      <c r="P80" s="60" t="s">
        <v>88</v>
      </c>
      <c r="Q80" s="32" t="s">
        <v>92</v>
      </c>
    </row>
    <row r="81" spans="1:17" ht="29" x14ac:dyDescent="0.35">
      <c r="A81" s="76" t="s">
        <v>5</v>
      </c>
      <c r="B81" s="25" t="s">
        <v>95</v>
      </c>
      <c r="C81" s="15"/>
      <c r="D81" s="77">
        <f>e_delivered/(t_service*v_out)</f>
        <v>0.39956491971279062</v>
      </c>
      <c r="E81" s="77">
        <f>e_delivered/(t_service*v_out)</f>
        <v>0.3973486734096951</v>
      </c>
      <c r="F81" s="77">
        <f>e_delivered/(t_service*v_out)</f>
        <v>0.39514731846884615</v>
      </c>
      <c r="G81" s="22"/>
      <c r="H81" s="77">
        <f>e_delivered/(t_service*v_out)</f>
        <v>0.35938721996193679</v>
      </c>
      <c r="I81" s="77">
        <f>e_delivered/(t_service*v_out)</f>
        <v>0.35657382882442745</v>
      </c>
      <c r="J81" s="77">
        <f>e_delivered/(t_service*v_out)</f>
        <v>0.35379937461158895</v>
      </c>
      <c r="K81" s="22"/>
      <c r="L81" s="77">
        <f>e_delivered/(t_service*v_out)</f>
        <v>0.28514490419028476</v>
      </c>
      <c r="M81" s="77">
        <f>e_delivered/(t_service*v_out)</f>
        <v>0.28183175240100611</v>
      </c>
      <c r="N81" s="77">
        <f>e_delivered/(t_service*v_out)</f>
        <v>0.27859319983715913</v>
      </c>
      <c r="O81" s="22"/>
      <c r="P81" s="60" t="s">
        <v>7</v>
      </c>
      <c r="Q81" s="32" t="s">
        <v>189</v>
      </c>
    </row>
    <row r="82" spans="1:17" x14ac:dyDescent="0.35">
      <c r="A82" s="13" t="s">
        <v>5</v>
      </c>
      <c r="B82" s="25" t="s">
        <v>93</v>
      </c>
      <c r="C82" s="15"/>
      <c r="D82" s="110">
        <f>i_out/i_out_max</f>
        <v>0.25027222127478194</v>
      </c>
      <c r="E82" s="110">
        <f>i_out/i_out_max</f>
        <v>0.251668136052622</v>
      </c>
      <c r="F82" s="110">
        <f>i_out/i_out_max</f>
        <v>0.25307017237897345</v>
      </c>
      <c r="G82" s="22"/>
      <c r="H82" s="110">
        <f>i_out/i_out_max</f>
        <v>0.27825140807898274</v>
      </c>
      <c r="I82" s="110">
        <f>i_out/i_out_max</f>
        <v>0.28044683012683685</v>
      </c>
      <c r="J82" s="110">
        <f>i_out/i_out_max</f>
        <v>0.28264606207906068</v>
      </c>
      <c r="K82" s="22"/>
      <c r="L82" s="110">
        <f>i_out/i_out_max</f>
        <v>0.1753494425649412</v>
      </c>
      <c r="M82" s="110">
        <f>i_out/i_out_max</f>
        <v>0.17741081185507154</v>
      </c>
      <c r="N82" s="110">
        <f>i_out/i_out_max</f>
        <v>0.17947315307489761</v>
      </c>
      <c r="O82" s="22"/>
      <c r="P82" s="60" t="s">
        <v>34</v>
      </c>
      <c r="Q82" s="32" t="s">
        <v>118</v>
      </c>
    </row>
    <row r="83" spans="1:17" ht="43.5" x14ac:dyDescent="0.35">
      <c r="A83" s="13" t="s">
        <v>5</v>
      </c>
      <c r="B83" s="25" t="s">
        <v>96</v>
      </c>
      <c r="C83" s="30"/>
      <c r="D83" s="111">
        <f>SUM(L82,H82,D82)</f>
        <v>0.70387307191870585</v>
      </c>
      <c r="E83" s="111">
        <f>SUM(M82,I82,E82)</f>
        <v>0.70952577803453032</v>
      </c>
      <c r="F83" s="111">
        <f>SUM(N82,J82,F82)</f>
        <v>0.71518938753293171</v>
      </c>
      <c r="G83" s="78"/>
      <c r="H83" s="68" t="s">
        <v>22</v>
      </c>
      <c r="I83" s="68" t="s">
        <v>22</v>
      </c>
      <c r="J83" s="68" t="s">
        <v>22</v>
      </c>
      <c r="K83" s="22"/>
      <c r="L83" s="68" t="s">
        <v>22</v>
      </c>
      <c r="M83" s="68" t="s">
        <v>22</v>
      </c>
      <c r="N83" s="68" t="s">
        <v>22</v>
      </c>
      <c r="O83" s="22"/>
      <c r="P83" s="60" t="s">
        <v>34</v>
      </c>
      <c r="Q83" s="32" t="s">
        <v>176</v>
      </c>
    </row>
    <row r="84" spans="1:17" ht="15.5" x14ac:dyDescent="0.35">
      <c r="A84" s="79"/>
      <c r="B84" s="80"/>
      <c r="C84" s="81"/>
      <c r="D84" s="82"/>
      <c r="E84" s="82"/>
      <c r="F84" s="82"/>
      <c r="G84" s="83"/>
      <c r="H84" s="82"/>
      <c r="I84" s="82"/>
      <c r="J84" s="82"/>
      <c r="K84" s="83"/>
      <c r="L84" s="82"/>
      <c r="M84" s="82"/>
      <c r="N84" s="82"/>
      <c r="O84" s="22"/>
      <c r="P84" s="25"/>
      <c r="Q84" s="32"/>
    </row>
    <row r="85" spans="1:17" x14ac:dyDescent="0.35">
      <c r="A85" s="105"/>
      <c r="B85" s="106" t="s">
        <v>73</v>
      </c>
      <c r="C85" s="105"/>
      <c r="D85" s="105"/>
      <c r="E85" s="105"/>
      <c r="F85" s="105"/>
      <c r="G85" s="105"/>
      <c r="H85" s="105"/>
      <c r="I85" s="105"/>
      <c r="J85" s="105"/>
      <c r="K85" s="105"/>
      <c r="L85" s="105"/>
      <c r="M85" s="105"/>
      <c r="N85" s="105"/>
      <c r="O85" s="105"/>
      <c r="P85" s="105"/>
      <c r="Q85" s="33"/>
    </row>
    <row r="86" spans="1:17" ht="35.15" customHeight="1" x14ac:dyDescent="0.35">
      <c r="A86" s="79" t="s">
        <v>5</v>
      </c>
      <c r="B86" s="25" t="s">
        <v>59</v>
      </c>
      <c r="C86" s="15"/>
      <c r="D86" s="74">
        <f>(i_out*v_out)/e_c_out_delivered</f>
        <v>117501.96218456961</v>
      </c>
      <c r="E86" s="74">
        <f>(i_out*v_out)/e_c_out_delivered</f>
        <v>120248.44277743845</v>
      </c>
      <c r="F86" s="74">
        <f>(i_out*v_out)/e_c_out_delivered</f>
        <v>122995.35683815365</v>
      </c>
      <c r="G86" s="22"/>
      <c r="H86" s="74">
        <f>(i_out*v_out)/e_c_out_delivered</f>
        <v>171112.11150091706</v>
      </c>
      <c r="I86" s="74">
        <f>(i_out*v_out)/e_c_out_delivered</f>
        <v>175239.0322836641</v>
      </c>
      <c r="J86" s="74">
        <f>(i_out*v_out)/e_c_out_delivered</f>
        <v>179366.22374086396</v>
      </c>
      <c r="K86" s="22"/>
      <c r="L86" s="74">
        <f>(i_out*v_out)/e_c_out_delivered</f>
        <v>137256.28308303541</v>
      </c>
      <c r="M86" s="74">
        <f>(i_out*v_out)/e_c_out_delivered</f>
        <v>140664.34067924964</v>
      </c>
      <c r="N86" s="74">
        <f>(i_out*v_out)/e_c_out_delivered</f>
        <v>144072.45000258731</v>
      </c>
      <c r="O86" s="22"/>
      <c r="P86" s="25" t="s">
        <v>21</v>
      </c>
      <c r="Q86" s="73" t="s">
        <v>201</v>
      </c>
    </row>
    <row r="87" spans="1:17" ht="72.5" x14ac:dyDescent="0.35">
      <c r="A87" s="76" t="s">
        <v>5</v>
      </c>
      <c r="B87" s="25" t="s">
        <v>60</v>
      </c>
      <c r="C87" s="15"/>
      <c r="D87" s="74">
        <f>SUM(L86,H86,D86)</f>
        <v>425870.35676852212</v>
      </c>
      <c r="E87" s="74">
        <f>SUM(M86,I86,E86)</f>
        <v>436151.81574035215</v>
      </c>
      <c r="F87" s="74">
        <f>SUM(N86,J86,F86)</f>
        <v>446434.03058160492</v>
      </c>
      <c r="G87" s="84"/>
      <c r="H87" s="64" t="s">
        <v>22</v>
      </c>
      <c r="I87" s="64" t="s">
        <v>22</v>
      </c>
      <c r="J87" s="64" t="s">
        <v>22</v>
      </c>
      <c r="K87" s="65"/>
      <c r="L87" s="64" t="s">
        <v>22</v>
      </c>
      <c r="M87" s="64" t="s">
        <v>22</v>
      </c>
      <c r="N87" s="64" t="s">
        <v>22</v>
      </c>
      <c r="O87" s="22"/>
      <c r="P87" s="85" t="s">
        <v>21</v>
      </c>
      <c r="Q87" s="86" t="s">
        <v>158</v>
      </c>
    </row>
    <row r="88" spans="1:17" x14ac:dyDescent="0.35">
      <c r="A88" s="76" t="s">
        <v>5</v>
      </c>
      <c r="B88" s="25" t="s">
        <v>84</v>
      </c>
      <c r="C88" s="15"/>
      <c r="D88" s="68">
        <f>1/(t_chg+t_dis)</f>
        <v>382141.69608387456</v>
      </c>
      <c r="E88" s="68">
        <f>1/(t_chg+t_dis)</f>
        <v>388959.2467219691</v>
      </c>
      <c r="F88" s="68">
        <f>1/(t_chg+t_dis)</f>
        <v>395692.99210824969</v>
      </c>
      <c r="G88" s="22"/>
      <c r="H88" s="68">
        <f>1/(t_chg+t_dis)</f>
        <v>501451.1744484696</v>
      </c>
      <c r="I88" s="68">
        <f>1/(t_chg+t_dis)</f>
        <v>509570.38424763858</v>
      </c>
      <c r="J88" s="68">
        <f>1/(t_chg+t_dis)</f>
        <v>517557.0309615499</v>
      </c>
      <c r="K88" s="22"/>
      <c r="L88" s="68">
        <f>1/(t_chg+t_dis)</f>
        <v>711025.08055288892</v>
      </c>
      <c r="M88" s="68">
        <f>1/(t_chg+t_dis)</f>
        <v>720228.0382171321</v>
      </c>
      <c r="N88" s="68">
        <f>1/(t_chg+t_dis)</f>
        <v>729215.86045745888</v>
      </c>
      <c r="O88" s="22"/>
      <c r="P88" s="25" t="s">
        <v>21</v>
      </c>
      <c r="Q88" s="73" t="s">
        <v>85</v>
      </c>
    </row>
    <row r="89" spans="1:17" ht="15.5" x14ac:dyDescent="0.35">
      <c r="A89" s="76"/>
      <c r="B89" s="98"/>
      <c r="C89" s="81"/>
      <c r="D89" s="82"/>
      <c r="E89" s="82"/>
      <c r="F89" s="82"/>
      <c r="G89" s="83"/>
      <c r="H89" s="82"/>
      <c r="I89" s="82"/>
      <c r="J89" s="82"/>
      <c r="K89" s="83"/>
      <c r="L89" s="82"/>
      <c r="M89" s="82"/>
      <c r="N89" s="82"/>
      <c r="O89" s="84"/>
      <c r="P89" s="88"/>
      <c r="Q89" s="32"/>
    </row>
    <row r="90" spans="1:17" x14ac:dyDescent="0.35">
      <c r="A90" s="105"/>
      <c r="B90" s="106" t="s">
        <v>72</v>
      </c>
      <c r="C90" s="105"/>
      <c r="D90" s="105"/>
      <c r="E90" s="105"/>
      <c r="F90" s="105"/>
      <c r="G90" s="105"/>
      <c r="H90" s="105"/>
      <c r="I90" s="105"/>
      <c r="J90" s="105"/>
      <c r="K90" s="105"/>
      <c r="L90" s="105"/>
      <c r="M90" s="105"/>
      <c r="N90" s="105"/>
      <c r="O90" s="105"/>
      <c r="P90" s="105"/>
      <c r="Q90" s="97"/>
    </row>
    <row r="91" spans="1:17" hidden="1" x14ac:dyDescent="0.35">
      <c r="A91" s="99" t="s">
        <v>5</v>
      </c>
      <c r="B91" s="100" t="s">
        <v>53</v>
      </c>
      <c r="C91" s="101"/>
      <c r="D91" s="102">
        <f>i_out/c_out_effective*t_undershoot</f>
        <v>1.5213903487103308E-2</v>
      </c>
      <c r="E91" s="102">
        <f>i_out/c_out_effective*t_undershoot</f>
        <v>1.5213903487103308E-2</v>
      </c>
      <c r="F91" s="102">
        <f>i_out/c_out_effective*t_undershoot</f>
        <v>1.5213903487103308E-2</v>
      </c>
      <c r="G91" s="103"/>
      <c r="H91" s="102">
        <f>i_out/c_out_effective*t_undershoot</f>
        <v>1.5213903487103308E-2</v>
      </c>
      <c r="I91" s="102">
        <f>i_out/c_out_effective*t_undershoot</f>
        <v>1.5213903487103308E-2</v>
      </c>
      <c r="J91" s="102">
        <f>i_out/c_out_effective*t_undershoot</f>
        <v>1.5213903487103308E-2</v>
      </c>
      <c r="K91" s="103"/>
      <c r="L91" s="102">
        <f>i_out/c_out_effective*t_undershoot</f>
        <v>7.6069517435516541E-3</v>
      </c>
      <c r="M91" s="102">
        <f>i_out/c_out_effective*t_undershoot</f>
        <v>7.3569517435516547E-3</v>
      </c>
      <c r="N91" s="102">
        <f>i_out/c_out_effective*t_undershoot</f>
        <v>7.3569517435516547E-3</v>
      </c>
      <c r="O91" s="103"/>
      <c r="P91" s="104" t="s">
        <v>17</v>
      </c>
      <c r="Q91" s="32" t="s">
        <v>64</v>
      </c>
    </row>
    <row r="92" spans="1:17" hidden="1" x14ac:dyDescent="0.35">
      <c r="A92" s="87" t="s">
        <v>5</v>
      </c>
      <c r="B92" s="25" t="s">
        <v>23</v>
      </c>
      <c r="C92" s="15"/>
      <c r="D92" s="68">
        <f>i_out/c_out_effective*(L59+L61)</f>
        <v>1.4064201493742047E-2</v>
      </c>
      <c r="E92" s="68">
        <f>i_out/c_out_effective*(M59+M61)</f>
        <v>1.388449139630028E-2</v>
      </c>
      <c r="F92" s="68">
        <f>i_out/c_out_effective*(N59+N61)</f>
        <v>1.3713360531854998E-2</v>
      </c>
      <c r="G92" s="15"/>
      <c r="H92" s="68">
        <f>i_out/c_out_effective*(L59+L61)</f>
        <v>1.4064201493742047E-2</v>
      </c>
      <c r="I92" s="68">
        <f>i_out/c_out_effective*(M59+M61)</f>
        <v>1.388449139630028E-2</v>
      </c>
      <c r="J92" s="68">
        <f>i_out/c_out_effective*(N59+N61)</f>
        <v>1.3713360531854998E-2</v>
      </c>
      <c r="K92" s="22"/>
      <c r="L92" s="25" t="s">
        <v>22</v>
      </c>
      <c r="M92" s="25" t="s">
        <v>22</v>
      </c>
      <c r="N92" s="25" t="s">
        <v>22</v>
      </c>
      <c r="O92" s="22"/>
      <c r="P92" s="25" t="s">
        <v>1</v>
      </c>
      <c r="Q92" s="73" t="s">
        <v>28</v>
      </c>
    </row>
    <row r="93" spans="1:17" hidden="1" x14ac:dyDescent="0.35">
      <c r="A93" s="87" t="s">
        <v>5</v>
      </c>
      <c r="B93" s="25" t="s">
        <v>24</v>
      </c>
      <c r="C93" s="15"/>
      <c r="D93" s="68">
        <f>i_out/c_out_effective*(H59+H61)</f>
        <v>1.9942121007092438E-2</v>
      </c>
      <c r="E93" s="68">
        <f>i_out/c_out_effective*(I59+I61)</f>
        <v>1.9624374392881217E-2</v>
      </c>
      <c r="F93" s="68">
        <f>i_out/c_out_effective*(J59+J61)</f>
        <v>1.9321542171732018E-2</v>
      </c>
      <c r="G93" s="22"/>
      <c r="H93" s="25" t="s">
        <v>22</v>
      </c>
      <c r="I93" s="25" t="s">
        <v>22</v>
      </c>
      <c r="J93" s="25" t="s">
        <v>22</v>
      </c>
      <c r="K93" s="15"/>
      <c r="L93" s="68">
        <f>i_out/c_out_effective*(H59+H61)</f>
        <v>9.971060503546219E-3</v>
      </c>
      <c r="M93" s="68">
        <f>i_out/c_out_effective*(I59+I61)</f>
        <v>9.8121871964406086E-3</v>
      </c>
      <c r="N93" s="68">
        <f>i_out/c_out_effective*(J59+J61)</f>
        <v>9.660771085866009E-3</v>
      </c>
      <c r="O93" s="22"/>
      <c r="P93" s="25" t="s">
        <v>1</v>
      </c>
      <c r="Q93" s="73" t="s">
        <v>29</v>
      </c>
    </row>
    <row r="94" spans="1:17" hidden="1" x14ac:dyDescent="0.35">
      <c r="A94" s="87" t="s">
        <v>5</v>
      </c>
      <c r="B94" s="25" t="s">
        <v>25</v>
      </c>
      <c r="C94" s="15"/>
      <c r="D94" s="25" t="s">
        <v>22</v>
      </c>
      <c r="E94" s="25" t="s">
        <v>22</v>
      </c>
      <c r="F94" s="25" t="s">
        <v>22</v>
      </c>
      <c r="G94" s="22"/>
      <c r="H94" s="68">
        <f>i_out/c_out_effective*(D59+D61)</f>
        <v>2.616830380583527E-2</v>
      </c>
      <c r="I94" s="68">
        <f>i_out/c_out_effective*(E59+E61)</f>
        <v>2.5709634323587818E-2</v>
      </c>
      <c r="J94" s="68">
        <f>i_out/c_out_effective*(F59+F61)</f>
        <v>2.5272118029485601E-2</v>
      </c>
      <c r="K94" s="22"/>
      <c r="L94" s="68">
        <f>i_out/c_out_effective*(D59+D61)</f>
        <v>1.3084151902917635E-2</v>
      </c>
      <c r="M94" s="68">
        <f>i_out/c_out_effective*(E59+E61)</f>
        <v>1.2854817161793909E-2</v>
      </c>
      <c r="N94" s="68">
        <f>i_out/c_out_effective*(F59+F61)</f>
        <v>1.2636059014742801E-2</v>
      </c>
      <c r="O94" s="22"/>
      <c r="P94" s="25" t="s">
        <v>1</v>
      </c>
      <c r="Q94" s="73" t="s">
        <v>30</v>
      </c>
    </row>
    <row r="95" spans="1:17" hidden="1" x14ac:dyDescent="0.35">
      <c r="A95" s="87" t="s">
        <v>5</v>
      </c>
      <c r="B95" s="25" t="s">
        <v>164</v>
      </c>
      <c r="C95" s="15"/>
      <c r="D95" s="25" t="s">
        <v>22</v>
      </c>
      <c r="E95" s="25" t="s">
        <v>22</v>
      </c>
      <c r="F95" s="25" t="s">
        <v>22</v>
      </c>
      <c r="G95" s="22"/>
      <c r="H95" s="25" t="s">
        <v>22</v>
      </c>
      <c r="I95" s="25" t="s">
        <v>22</v>
      </c>
      <c r="J95" s="25" t="s">
        <v>22</v>
      </c>
      <c r="K95" s="15"/>
      <c r="L95" s="68">
        <f>i_out/c_out_effective*SUM(H59,H61,D59,D61)</f>
        <v>2.3055212406463854E-2</v>
      </c>
      <c r="M95" s="68">
        <f>i_out/c_out_effective*SUM(I59,I61,E59,E61)</f>
        <v>2.2667004358234519E-2</v>
      </c>
      <c r="N95" s="68">
        <f>i_out/c_out_effective*SUM(J59,J61,F59,F61)</f>
        <v>2.229683010060881E-2</v>
      </c>
      <c r="O95" s="22"/>
      <c r="P95" s="25" t="s">
        <v>1</v>
      </c>
      <c r="Q95" s="73" t="s">
        <v>32</v>
      </c>
    </row>
    <row r="96" spans="1:17" hidden="1" x14ac:dyDescent="0.35">
      <c r="A96" s="87" t="s">
        <v>5</v>
      </c>
      <c r="B96" s="25" t="s">
        <v>27</v>
      </c>
      <c r="C96" s="15"/>
      <c r="D96" s="25" t="s">
        <v>22</v>
      </c>
      <c r="E96" s="25" t="s">
        <v>22</v>
      </c>
      <c r="F96" s="25" t="s">
        <v>22</v>
      </c>
      <c r="G96" s="15"/>
      <c r="H96" s="68">
        <f>i_out/c_out_effective*SUM(L59,L61,D59,D61)</f>
        <v>4.0232505299577316E-2</v>
      </c>
      <c r="I96" s="68">
        <f>i_out/c_out_effective*SUM(M59,M61,E59,E61)</f>
        <v>3.9594125719888101E-2</v>
      </c>
      <c r="J96" s="68">
        <f>i_out/c_out_effective*SUM(N59,N61,F59,F61)</f>
        <v>3.8985478561340596E-2</v>
      </c>
      <c r="K96" s="22"/>
      <c r="L96" s="25" t="s">
        <v>22</v>
      </c>
      <c r="M96" s="25" t="s">
        <v>22</v>
      </c>
      <c r="N96" s="25" t="s">
        <v>22</v>
      </c>
      <c r="O96" s="22"/>
      <c r="P96" s="25" t="s">
        <v>1</v>
      </c>
      <c r="Q96" s="73" t="s">
        <v>31</v>
      </c>
    </row>
    <row r="97" spans="1:17" hidden="1" x14ac:dyDescent="0.35">
      <c r="A97" s="87" t="s">
        <v>5</v>
      </c>
      <c r="B97" s="88" t="s">
        <v>26</v>
      </c>
      <c r="C97" s="89"/>
      <c r="D97" s="68">
        <f>i_out/c_out_effective*SUM(L59,L61,H59,H61)</f>
        <v>3.4006322500834484E-2</v>
      </c>
      <c r="E97" s="68">
        <f>i_out/c_out_effective*SUM(M59,M61,I59,I61)</f>
        <v>3.3508865789181497E-2</v>
      </c>
      <c r="F97" s="68">
        <f>i_out/c_out_effective*SUM(N59,N61,J59,J61)</f>
        <v>3.303490270358702E-2</v>
      </c>
      <c r="G97" s="15"/>
      <c r="H97" s="25" t="s">
        <v>22</v>
      </c>
      <c r="I97" s="25" t="s">
        <v>22</v>
      </c>
      <c r="J97" s="25" t="s">
        <v>22</v>
      </c>
      <c r="K97" s="15"/>
      <c r="L97" s="25" t="s">
        <v>22</v>
      </c>
      <c r="M97" s="25" t="s">
        <v>22</v>
      </c>
      <c r="N97" s="25" t="s">
        <v>22</v>
      </c>
      <c r="O97" s="22"/>
      <c r="P97" s="25" t="s">
        <v>1</v>
      </c>
      <c r="Q97" s="73" t="s">
        <v>33</v>
      </c>
    </row>
    <row r="98" spans="1:17" hidden="1" x14ac:dyDescent="0.35">
      <c r="A98" s="24" t="s">
        <v>5</v>
      </c>
      <c r="B98" s="25" t="s">
        <v>97</v>
      </c>
      <c r="C98" s="38"/>
      <c r="D98" s="90">
        <f>v_c_out_ripple_no_load</f>
        <v>0.10026332203021759</v>
      </c>
      <c r="E98" s="90">
        <f>v_c_out_ripple_no_load</f>
        <v>9.8143496773690275E-2</v>
      </c>
      <c r="F98" s="90">
        <f>v_c_out_ripple_no_load</f>
        <v>9.6107370432701344E-2</v>
      </c>
      <c r="G98" s="91"/>
      <c r="H98" s="90">
        <f>v_c_out_ripple_no_load</f>
        <v>7.0262916501020456E-2</v>
      </c>
      <c r="I98" s="90">
        <f>v_c_out_ripple_no_load</f>
        <v>6.8665668160019733E-2</v>
      </c>
      <c r="J98" s="90">
        <f>v_c_out_ripple_no_load</f>
        <v>6.713794949821783E-2</v>
      </c>
      <c r="K98" s="91"/>
      <c r="L98" s="90">
        <f>v_c_out_ripple_no_load</f>
        <v>3.9856494487845229E-2</v>
      </c>
      <c r="M98" s="90">
        <f>v_c_out_ripple_no_load</f>
        <v>3.8901612167309363E-2</v>
      </c>
      <c r="N98" s="90">
        <f>v_c_out_ripple_no_load</f>
        <v>3.799113787000552E-2</v>
      </c>
      <c r="O98" s="22"/>
      <c r="P98" s="25" t="s">
        <v>1</v>
      </c>
      <c r="Q98" s="73" t="s">
        <v>116</v>
      </c>
    </row>
    <row r="99" spans="1:17" hidden="1" x14ac:dyDescent="0.35">
      <c r="A99" s="24" t="s">
        <v>5</v>
      </c>
      <c r="B99" s="25" t="s">
        <v>40</v>
      </c>
      <c r="C99" s="38"/>
      <c r="D99" s="92">
        <f>D11</f>
        <v>1.17</v>
      </c>
      <c r="E99" s="92">
        <f>E11</f>
        <v>1.2</v>
      </c>
      <c r="F99" s="92">
        <f>F11</f>
        <v>1.2299999999999998</v>
      </c>
      <c r="G99" s="93"/>
      <c r="H99" s="92">
        <f>H11</f>
        <v>1.7549999999999999</v>
      </c>
      <c r="I99" s="92">
        <f>I11</f>
        <v>1.8</v>
      </c>
      <c r="J99" s="92">
        <f>J11</f>
        <v>1.845</v>
      </c>
      <c r="K99" s="93"/>
      <c r="L99" s="92">
        <f>L11</f>
        <v>3.2174999999999998</v>
      </c>
      <c r="M99" s="92">
        <f>M11</f>
        <v>3.3</v>
      </c>
      <c r="N99" s="92">
        <f>N11</f>
        <v>3.3824999999999994</v>
      </c>
      <c r="O99" s="22"/>
      <c r="P99" s="25" t="s">
        <v>1</v>
      </c>
      <c r="Q99" s="73" t="s">
        <v>65</v>
      </c>
    </row>
    <row r="100" spans="1:17" hidden="1" x14ac:dyDescent="0.35">
      <c r="A100" s="24" t="s">
        <v>5</v>
      </c>
      <c r="B100" s="25" t="s">
        <v>98</v>
      </c>
      <c r="C100" s="38"/>
      <c r="D100" s="90">
        <f>D91</f>
        <v>1.5213903487103308E-2</v>
      </c>
      <c r="E100" s="90">
        <f>E91</f>
        <v>1.5213903487103308E-2</v>
      </c>
      <c r="F100" s="90">
        <f>F91</f>
        <v>1.5213903487103308E-2</v>
      </c>
      <c r="G100" s="91"/>
      <c r="H100" s="90">
        <f>H91</f>
        <v>1.5213903487103308E-2</v>
      </c>
      <c r="I100" s="90">
        <f>I91</f>
        <v>1.5213903487103308E-2</v>
      </c>
      <c r="J100" s="90">
        <f>J91</f>
        <v>1.5213903487103308E-2</v>
      </c>
      <c r="K100" s="91"/>
      <c r="L100" s="90">
        <f t="shared" ref="L100:N100" si="6">L91</f>
        <v>7.6069517435516541E-3</v>
      </c>
      <c r="M100" s="90">
        <f t="shared" si="6"/>
        <v>7.3569517435516547E-3</v>
      </c>
      <c r="N100" s="90">
        <f t="shared" si="6"/>
        <v>7.3569517435516547E-3</v>
      </c>
      <c r="O100" s="22"/>
      <c r="P100" s="25" t="s">
        <v>1</v>
      </c>
      <c r="Q100" s="73" t="s">
        <v>66</v>
      </c>
    </row>
    <row r="101" spans="1:17" hidden="1" x14ac:dyDescent="0.35">
      <c r="A101" s="24" t="s">
        <v>5</v>
      </c>
      <c r="B101" s="25" t="s">
        <v>100</v>
      </c>
      <c r="C101" s="38"/>
      <c r="D101" s="90">
        <f>MIN(D92:D94)+D100</f>
        <v>2.9278104980845356E-2</v>
      </c>
      <c r="E101" s="90">
        <f>MIN(E92:E94)+E100</f>
        <v>2.9098394883403586E-2</v>
      </c>
      <c r="F101" s="90">
        <f>MIN(F92:F94)+F100</f>
        <v>2.8927264018958308E-2</v>
      </c>
      <c r="G101" s="91"/>
      <c r="H101" s="90">
        <f>MIN(H92:H94)+H100</f>
        <v>2.9278104980845356E-2</v>
      </c>
      <c r="I101" s="90">
        <f>MIN(I92:I94)+I100</f>
        <v>2.9098394883403586E-2</v>
      </c>
      <c r="J101" s="90">
        <f>MIN(J92:J94)+J100</f>
        <v>2.8927264018958308E-2</v>
      </c>
      <c r="K101" s="91"/>
      <c r="L101" s="90">
        <f t="shared" ref="L101:N101" si="7">MIN(L92:L94)+L100</f>
        <v>1.7578012247097874E-2</v>
      </c>
      <c r="M101" s="90">
        <f t="shared" si="7"/>
        <v>1.7169138939992265E-2</v>
      </c>
      <c r="N101" s="90">
        <f t="shared" si="7"/>
        <v>1.7017722829417666E-2</v>
      </c>
      <c r="O101" s="22"/>
      <c r="P101" s="25" t="s">
        <v>1</v>
      </c>
      <c r="Q101" s="73" t="s">
        <v>68</v>
      </c>
    </row>
    <row r="102" spans="1:17" hidden="1" x14ac:dyDescent="0.35">
      <c r="A102" s="24" t="s">
        <v>5</v>
      </c>
      <c r="B102" s="25" t="s">
        <v>99</v>
      </c>
      <c r="C102" s="38"/>
      <c r="D102" s="90">
        <f>D100+MAX(D92:D94)</f>
        <v>3.5156024494195748E-2</v>
      </c>
      <c r="E102" s="90">
        <f>E100+MAX(E92:E94)</f>
        <v>3.4838277879984524E-2</v>
      </c>
      <c r="F102" s="90">
        <f>F100+MAX(F92:F94)</f>
        <v>3.4535445658835325E-2</v>
      </c>
      <c r="G102" s="91"/>
      <c r="H102" s="90">
        <f>H100+MAX(H92:H94)</f>
        <v>4.138220729293858E-2</v>
      </c>
      <c r="I102" s="90">
        <f>I100+MAX(I92:I94)</f>
        <v>4.0923537810691128E-2</v>
      </c>
      <c r="J102" s="90">
        <f>J100+MAX(J92:J94)</f>
        <v>4.0486021516588908E-2</v>
      </c>
      <c r="K102" s="91"/>
      <c r="L102" s="90">
        <f t="shared" ref="L102:N102" si="8">L100+MAX(L92:L94)</f>
        <v>2.069110364646929E-2</v>
      </c>
      <c r="M102" s="90">
        <f t="shared" si="8"/>
        <v>2.0211768905345564E-2</v>
      </c>
      <c r="N102" s="90">
        <f t="shared" si="8"/>
        <v>1.9993010758294454E-2</v>
      </c>
      <c r="O102" s="22"/>
      <c r="P102" s="25" t="s">
        <v>1</v>
      </c>
      <c r="Q102" s="73" t="s">
        <v>67</v>
      </c>
    </row>
    <row r="103" spans="1:17" hidden="1" x14ac:dyDescent="0.35">
      <c r="A103" s="24" t="s">
        <v>5</v>
      </c>
      <c r="B103" s="25" t="s">
        <v>101</v>
      </c>
      <c r="C103" s="38"/>
      <c r="D103" s="90">
        <f>D100+D97</f>
        <v>4.9220225987937793E-2</v>
      </c>
      <c r="E103" s="90">
        <f>E100+E97</f>
        <v>4.8722769276284807E-2</v>
      </c>
      <c r="F103" s="90">
        <f>F100+F97</f>
        <v>4.824880619069033E-2</v>
      </c>
      <c r="G103" s="91"/>
      <c r="H103" s="90">
        <f>H100+H96</f>
        <v>5.5446408786680626E-2</v>
      </c>
      <c r="I103" s="90">
        <f>I100+I96</f>
        <v>5.4808029206991411E-2</v>
      </c>
      <c r="J103" s="90">
        <f>J100+J96</f>
        <v>5.4199382048443906E-2</v>
      </c>
      <c r="K103" s="91"/>
      <c r="L103" s="90">
        <f>L100+L95</f>
        <v>3.0662164150015509E-2</v>
      </c>
      <c r="M103" s="90">
        <f>M100+M95</f>
        <v>3.0023956101786174E-2</v>
      </c>
      <c r="N103" s="90">
        <f>N100+N95</f>
        <v>2.9653781844160464E-2</v>
      </c>
      <c r="O103" s="22"/>
      <c r="P103" s="25" t="s">
        <v>1</v>
      </c>
      <c r="Q103" s="73" t="s">
        <v>69</v>
      </c>
    </row>
    <row r="104" spans="1:17" x14ac:dyDescent="0.35">
      <c r="A104" s="79" t="s">
        <v>5</v>
      </c>
      <c r="B104" s="25" t="s">
        <v>102</v>
      </c>
      <c r="C104" s="38"/>
      <c r="D104" s="94">
        <f>v_out+D98</f>
        <v>1.2702633220302175</v>
      </c>
      <c r="E104" s="94">
        <f>v_out+E98</f>
        <v>1.2981434967736902</v>
      </c>
      <c r="F104" s="94">
        <f>v_out+F98</f>
        <v>1.3261073704327011</v>
      </c>
      <c r="G104" s="93"/>
      <c r="H104" s="94">
        <f>v_out+H98</f>
        <v>1.8252629165010203</v>
      </c>
      <c r="I104" s="94">
        <f>v_out+I98</f>
        <v>1.8686656681600198</v>
      </c>
      <c r="J104" s="94">
        <f>v_out+J98</f>
        <v>1.9121379494982178</v>
      </c>
      <c r="K104" s="93"/>
      <c r="L104" s="94">
        <f>v_out+L98</f>
        <v>3.257356494487845</v>
      </c>
      <c r="M104" s="94">
        <f>v_out+M98</f>
        <v>3.3389016121673092</v>
      </c>
      <c r="N104" s="94">
        <f>v_out+N98</f>
        <v>3.4204911378700049</v>
      </c>
      <c r="O104" s="22"/>
      <c r="P104" s="25" t="s">
        <v>1</v>
      </c>
      <c r="Q104" s="73" t="s">
        <v>202</v>
      </c>
    </row>
    <row r="105" spans="1:17" x14ac:dyDescent="0.35">
      <c r="A105" s="79" t="s">
        <v>5</v>
      </c>
      <c r="B105" s="25" t="s">
        <v>103</v>
      </c>
      <c r="C105" s="38"/>
      <c r="D105" s="94">
        <f>D11-D103</f>
        <v>1.1207797740120622</v>
      </c>
      <c r="E105" s="94">
        <f>E11-E103</f>
        <v>1.1512772307237151</v>
      </c>
      <c r="F105" s="94">
        <f>F11-F103</f>
        <v>1.1817511938093095</v>
      </c>
      <c r="G105" s="93"/>
      <c r="H105" s="94">
        <f>H11-H103</f>
        <v>1.6995535912133193</v>
      </c>
      <c r="I105" s="94">
        <f>I11-I103</f>
        <v>1.7451919707930086</v>
      </c>
      <c r="J105" s="94">
        <f>J11-J103</f>
        <v>1.7908006179515561</v>
      </c>
      <c r="K105" s="93"/>
      <c r="L105" s="94">
        <f>v_out-L103</f>
        <v>3.1868378358499845</v>
      </c>
      <c r="M105" s="94">
        <f>v_out-M103</f>
        <v>3.2699760438982137</v>
      </c>
      <c r="N105" s="94">
        <f>v_out-N103</f>
        <v>3.3528462181558387</v>
      </c>
      <c r="O105" s="22"/>
      <c r="P105" s="25" t="s">
        <v>1</v>
      </c>
      <c r="Q105" s="73" t="s">
        <v>203</v>
      </c>
    </row>
    <row r="106" spans="1:17" hidden="1" x14ac:dyDescent="0.35">
      <c r="A106" s="24" t="s">
        <v>5</v>
      </c>
      <c r="B106" s="25" t="s">
        <v>104</v>
      </c>
      <c r="C106" s="38"/>
      <c r="D106" s="90">
        <f>D104-D105</f>
        <v>0.14948354801815533</v>
      </c>
      <c r="E106" s="90">
        <f>E104-E105</f>
        <v>0.1468662660499751</v>
      </c>
      <c r="F106" s="90">
        <f>F104-F105</f>
        <v>0.14435617662339162</v>
      </c>
      <c r="G106" s="91"/>
      <c r="H106" s="90">
        <f>H104-H105</f>
        <v>0.12570932528770107</v>
      </c>
      <c r="I106" s="90">
        <f>I104-I105</f>
        <v>0.12347369736701119</v>
      </c>
      <c r="J106" s="90">
        <f>J104-J105</f>
        <v>0.12133733154666171</v>
      </c>
      <c r="K106" s="91"/>
      <c r="L106" s="90">
        <f>L104-L105</f>
        <v>7.0518658637860554E-2</v>
      </c>
      <c r="M106" s="90">
        <f>M104-M105</f>
        <v>6.8925568269095461E-2</v>
      </c>
      <c r="N106" s="90">
        <f>N104-N105</f>
        <v>6.7644919714166196E-2</v>
      </c>
      <c r="O106" s="22"/>
      <c r="P106" s="25" t="s">
        <v>1</v>
      </c>
      <c r="Q106" s="73" t="s">
        <v>70</v>
      </c>
    </row>
    <row r="107" spans="1:17" ht="43.5" x14ac:dyDescent="0.35">
      <c r="A107" s="79" t="s">
        <v>5</v>
      </c>
      <c r="B107" s="25" t="s">
        <v>105</v>
      </c>
      <c r="C107" s="38"/>
      <c r="D107" s="95">
        <f>D106/D11*100</f>
        <v>12.776371625483362</v>
      </c>
      <c r="E107" s="95">
        <f>E106/E11*100</f>
        <v>12.238855504164592</v>
      </c>
      <c r="F107" s="95">
        <f>F106/F11*100</f>
        <v>11.736274522226964</v>
      </c>
      <c r="G107" s="96"/>
      <c r="H107" s="95">
        <f>H106/v_out*100</f>
        <v>7.1629245178177241</v>
      </c>
      <c r="I107" s="95">
        <f>I106/v_out*100</f>
        <v>6.8596498537228436</v>
      </c>
      <c r="J107" s="95">
        <f>J106/v_out*100</f>
        <v>6.576549135320418</v>
      </c>
      <c r="K107" s="96"/>
      <c r="L107" s="95">
        <f>L106/L11*100</f>
        <v>2.1917221021868083</v>
      </c>
      <c r="M107" s="95">
        <f>M106/M11*100</f>
        <v>2.0886535839119835</v>
      </c>
      <c r="N107" s="95">
        <f>N106/N11*100</f>
        <v>1.9998498067750541</v>
      </c>
      <c r="O107" s="22"/>
      <c r="P107" s="25" t="s">
        <v>71</v>
      </c>
      <c r="Q107" s="73" t="s">
        <v>204</v>
      </c>
    </row>
    <row r="108" spans="1:17" collapsed="1" x14ac:dyDescent="0.35"/>
  </sheetData>
  <sheetProtection algorithmName="SHA-512" hashValue="SjJBorZcAP3imVSsIjy71xOiJ/XDXc2b3iK7BZRJgRdfa69nrgBZIjN/ndx8eBgPGvtKtfM/U3OiJosSmBXcbg==" saltValue="1TcDq4zdpGxpdxQ6Gv5sQQ==" spinCount="100000" sheet="1" selectLockedCells="1"/>
  <conditionalFormatting sqref="D7:N7">
    <cfRule type="cellIs" dxfId="27" priority="5" operator="greaterThan">
      <formula>D$50</formula>
    </cfRule>
    <cfRule type="cellIs" dxfId="26" priority="6" operator="greaterThan">
      <formula>D$49</formula>
    </cfRule>
  </conditionalFormatting>
  <conditionalFormatting sqref="D87:F87 D22:F22">
    <cfRule type="cellIs" dxfId="25" priority="4" operator="greaterThan">
      <formula>2500000</formula>
    </cfRule>
  </conditionalFormatting>
  <conditionalFormatting sqref="D83:F83 D20:F20">
    <cfRule type="cellIs" dxfId="24" priority="3" operator="greaterThan">
      <formula>0.8</formula>
    </cfRule>
  </conditionalFormatting>
  <conditionalFormatting sqref="D107:N107">
    <cfRule type="cellIs" dxfId="23" priority="2" operator="greaterThan">
      <formula>2</formula>
    </cfRule>
  </conditionalFormatting>
  <conditionalFormatting sqref="D58:F61 H58:J61 L58:N61">
    <cfRule type="cellIs" dxfId="22" priority="1" operator="greaterThan">
      <formula>0.0000025</formula>
    </cfRule>
  </conditionalFormatting>
  <dataValidations count="5">
    <dataValidation type="decimal" errorStyle="warning" allowBlank="1" showInputMessage="1" showErrorMessage="1" errorTitle="Value Out of Range" error="Enter a value from 0.1e-6 to 40e-6." sqref="O6:O10" xr:uid="{00000000-0002-0000-0100-000000000000}">
      <formula1>0.0000001</formula1>
      <formula2>0.00004</formula2>
    </dataValidation>
    <dataValidation type="list" errorStyle="information" allowBlank="1" showInputMessage="1" showErrorMessage="1" errorTitle="Non-Standard Peak Current Limit" error="The value entered is note a standard value from the register map.  The program will accept your value but proceed with caution." sqref="G2 K2" xr:uid="{00000000-0002-0000-0100-000001000000}">
      <formula1>"0.500, 0.707, 0.866, 1.000"</formula1>
    </dataValidation>
    <dataValidation errorStyle="information" allowBlank="1" showInputMessage="1" showErrorMessage="1" errorTitle="Non-Standard Peak Current Limit" error="The value entered is note a standard value from the register map.  The program will accept your value but proceed with caution." sqref="M2:N2 E2:F2 I2:J2" xr:uid="{00000000-0002-0000-0100-000002000000}"/>
    <dataValidation errorStyle="warning" allowBlank="1" showInputMessage="1" showErrorMessage="1" errorTitle="Value Out of Range" error="Enter a value from 0.1e-6 to 40e-6." sqref="D6:N6 D8:N10" xr:uid="{00000000-0002-0000-0100-000003000000}"/>
    <dataValidation type="list" errorStyle="information" allowBlank="1" showInputMessage="1" showErrorMessage="1" errorTitle="Non-Standard Peak Current Limit" error="The value entered is note a standard value from the register map.  The program will accept your value but proceed with caution." sqref="D2 H2 L2" xr:uid="{83F4EC6A-DFD5-4561-BF08-BB219BD1D082}">
      <formula1>"0.4, 0.6, 0.8, 1.1"</formula1>
    </dataValidation>
  </dataValidations>
  <pageMargins left="0.7" right="0.7" top="0.75" bottom="0.75" header="0.3" footer="0.3"/>
  <pageSetup orientation="portrait" verticalDpi="4294967293"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D4C304306947647AC1DD6E939CE4796" ma:contentTypeVersion="14" ma:contentTypeDescription="Create a new document." ma:contentTypeScope="" ma:versionID="0f254732c1731963be29fa8e1930510f">
  <xsd:schema xmlns:xsd="http://www.w3.org/2001/XMLSchema" xmlns:xs="http://www.w3.org/2001/XMLSchema" xmlns:p="http://schemas.microsoft.com/office/2006/metadata/properties" xmlns:ns2="92ce6232-8684-49e7-81cb-ecb0055756af" xmlns:ns3="3bfe3956-80a1-4332-80e7-9aa2e6458d30" xmlns:ns4="http://schemas.microsoft.com/sharepoint/v4" targetNamespace="http://schemas.microsoft.com/office/2006/metadata/properties" ma:root="true" ma:fieldsID="78d55943df1e512f3c4d5c36c9d0a285" ns2:_="" ns3:_="" ns4:_="">
    <xsd:import namespace="92ce6232-8684-49e7-81cb-ecb0055756af"/>
    <xsd:import namespace="3bfe3956-80a1-4332-80e7-9aa2e6458d30"/>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4:IconOverlay"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ce6232-8684-49e7-81cb-ecb0055756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fe3956-80a1-4332-80e7-9aa2e6458d3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30A9CF42-96F0-4C3E-B878-7421EF4869FE}">
  <ds:schemaRefs>
    <ds:schemaRef ds:uri="http://schemas.microsoft.com/sharepoint/v3/contenttype/forms"/>
  </ds:schemaRefs>
</ds:datastoreItem>
</file>

<file path=customXml/itemProps2.xml><?xml version="1.0" encoding="utf-8"?>
<ds:datastoreItem xmlns:ds="http://schemas.openxmlformats.org/officeDocument/2006/customXml" ds:itemID="{E3E99A60-E924-4188-BE3F-EB8A70B74D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ce6232-8684-49e7-81cb-ecb0055756af"/>
    <ds:schemaRef ds:uri="3bfe3956-80a1-4332-80e7-9aa2e6458d30"/>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22F4E7-C0E9-4A2B-A0F6-E9F5D8E8EACF}">
  <ds:schemaRefs>
    <ds:schemaRef ds:uri="http://schemas.microsoft.com/office/2006/metadata/properties"/>
    <ds:schemaRef ds:uri="http://www.w3.org/XML/1998/namespace"/>
    <ds:schemaRef ds:uri="http://schemas.microsoft.com/office/2006/documentManagement/types"/>
    <ds:schemaRef ds:uri="http://purl.org/dc/elements/1.1/"/>
    <ds:schemaRef ds:uri="http://purl.org/dc/dcmitype/"/>
    <ds:schemaRef ds:uri="3bfe3956-80a1-4332-80e7-9aa2e6458d30"/>
    <ds:schemaRef ds:uri="92ce6232-8684-49e7-81cb-ecb0055756af"/>
    <ds:schemaRef ds:uri="http://schemas.microsoft.com/office/infopath/2007/PartnerControls"/>
    <ds:schemaRef ds:uri="http://schemas.openxmlformats.org/package/2006/metadata/core-properties"/>
    <ds:schemaRef ds:uri="http://schemas.microsoft.com/sharepoint/v4"/>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Calculator</vt:lpstr>
    </vt:vector>
  </TitlesOfParts>
  <Company>Maxim Integrated Products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Chad L. Olson</dc:creator>
  <cp:lastModifiedBy>Chapin Wong</cp:lastModifiedBy>
  <dcterms:created xsi:type="dcterms:W3CDTF">2015-11-13T22:41:52Z</dcterms:created>
  <dcterms:modified xsi:type="dcterms:W3CDTF">2019-07-03T23:31:09Z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0x0101008D4C304306947647AC1DD6E939CE4796</vt:lpwstr>
  </property>
  <property fmtid="{D5CDD505-2E9C-101B-9397-08002B2CF9AE}" pid="3" name="AuthorIds_UIVersion_7">
    <vt:lpwstr>136</vt:lpwstr>
  </property>
  <property fmtid="{D5CDD505-2E9C-101B-9397-08002B2CF9AE}" pid="4" name="URL">
    <vt:lpwstr/>
  </property>
  <property fmtid="{D5CDD505-2E9C-101B-9397-08002B2CF9AE}" pid="5" name="xd_Signature">
    <vt:bool>false</vt:bool>
  </property>
  <property fmtid="{D5CDD505-2E9C-101B-9397-08002B2CF9AE}" pid="6" name="xd_ProgID">
    <vt:lpwstr/>
  </property>
  <property fmtid="{D5CDD505-2E9C-101B-9397-08002B2CF9AE}" pid="7" name="AuthorIds_UIVersion_6">
    <vt:lpwstr>136</vt:lpwstr>
  </property>
  <property fmtid="{D5CDD505-2E9C-101B-9397-08002B2CF9AE}" pid="8" name="TemplateUrl">
    <vt:lpwstr/>
  </property>
  <property fmtid="{D5CDD505-2E9C-101B-9397-08002B2CF9AE}" pid="9" name="ComplianceAssetId">
    <vt:lpwstr/>
  </property>
</Properties>
</file>